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1016369\Desktop\"/>
    </mc:Choice>
  </mc:AlternateContent>
  <xr:revisionPtr revIDLastSave="0" documentId="13_ncr:1_{EAB49D4D-8EC4-464A-8F0A-560908D89805}" xr6:coauthVersionLast="47" xr6:coauthVersionMax="47" xr10:uidLastSave="{00000000-0000-0000-0000-000000000000}"/>
  <bookViews>
    <workbookView xWindow="-120" yWindow="-120" windowWidth="20730" windowHeight="11040" xr2:uid="{DA3DADCA-E13A-4421-92D3-75A4A003A98D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P28" i="1"/>
  <c r="P27" i="1"/>
  <c r="P26" i="1"/>
  <c r="P25" i="1"/>
  <c r="P24" i="1"/>
  <c r="E44" i="1"/>
  <c r="E41" i="1"/>
  <c r="E45" i="1" s="1"/>
  <c r="D36" i="1"/>
  <c r="K37" i="1" s="1"/>
  <c r="N35" i="1"/>
  <c r="N36" i="1" s="1"/>
  <c r="C32" i="1"/>
  <c r="E36" i="1" s="1"/>
  <c r="L30" i="1"/>
  <c r="N27" i="1" s="1"/>
  <c r="N32" i="1" s="1"/>
  <c r="K30" i="1"/>
  <c r="N16" i="1"/>
  <c r="N15" i="1"/>
  <c r="G14" i="1"/>
  <c r="C12" i="1"/>
  <c r="D14" i="1" s="1"/>
  <c r="L10" i="1"/>
  <c r="N7" i="1" s="1"/>
  <c r="N12" i="1" s="1"/>
  <c r="K10" i="1"/>
  <c r="E46" i="1" l="1"/>
  <c r="E35" i="1"/>
  <c r="E37" i="1" s="1"/>
  <c r="D17" i="1"/>
  <c r="E17" i="1"/>
  <c r="E39" i="1" l="1"/>
  <c r="F17" i="1"/>
  <c r="G17" i="1" s="1"/>
</calcChain>
</file>

<file path=xl/sharedStrings.xml><?xml version="1.0" encoding="utf-8"?>
<sst xmlns="http://schemas.openxmlformats.org/spreadsheetml/2006/main" count="54" uniqueCount="42">
  <si>
    <t>FY22-23</t>
  </si>
  <si>
    <t>Ash contained more than 36%</t>
  </si>
  <si>
    <t>1) CN for 100% of washing charges Rs. 170/- on Q2 coal receipt Qty.</t>
  </si>
  <si>
    <t>2) Additional 2.5% yield diff. on clean coal dispatched during Jul-Sep22. (Qty.credited in washery recon-Nov22)</t>
  </si>
  <si>
    <t>Month</t>
  </si>
  <si>
    <t>RR Qty.</t>
  </si>
  <si>
    <t>Rcpt Qty.</t>
  </si>
  <si>
    <t>Monthly Ash%</t>
  </si>
  <si>
    <t>Q2 ash%</t>
  </si>
  <si>
    <t>3) Qty. 2648.94 MT reduced from reject sale of Nov22</t>
  </si>
  <si>
    <t>Clean coal dispatched</t>
  </si>
  <si>
    <t>NIL</t>
  </si>
  <si>
    <t>QRT-II</t>
  </si>
  <si>
    <t>Min.Ash</t>
  </si>
  <si>
    <t>yield diff</t>
  </si>
  <si>
    <t>Addl.yield</t>
  </si>
  <si>
    <t>1%= 2.5% =</t>
  </si>
  <si>
    <t>Bal. 0.58% of 2.5%=</t>
  </si>
  <si>
    <t>RC Qty.</t>
  </si>
  <si>
    <t>CC Qty.</t>
  </si>
  <si>
    <t>CC Qty. Cr. In washery recon-Nov22</t>
  </si>
  <si>
    <t>FY23-24</t>
  </si>
  <si>
    <t>2) Additional 2.5% yield diff. on clean coal dispatched during Jul-Sep23. (Qty.credited in washery recon-)</t>
  </si>
  <si>
    <t xml:space="preserve">3) Qty.  MT reduced from reject sale of </t>
  </si>
  <si>
    <t>Raw coal lifted from SECL Mines</t>
  </si>
  <si>
    <t>Total Raw coal lifted-Q2</t>
  </si>
  <si>
    <t>WC Qty.MT</t>
  </si>
  <si>
    <t>Bal. 0.73% of 2.5%=</t>
  </si>
  <si>
    <t>Addl.Credit WC qty. for Ash&gt;36%</t>
  </si>
  <si>
    <t>Cr. Given in Washery Recon-Sep23</t>
  </si>
  <si>
    <t>RC Qty. Reduced from Reject Qty-Oct23</t>
  </si>
  <si>
    <t>Reject coal sale invoice for Oct23</t>
  </si>
  <si>
    <t>RC lifted-Oct23</t>
  </si>
  <si>
    <t>Yield diff. reduced</t>
  </si>
  <si>
    <t>Reject Coal billing Qty.for Oct23</t>
  </si>
  <si>
    <t>FY 22-23</t>
  </si>
  <si>
    <t>FY 21-22</t>
  </si>
  <si>
    <t>FY 20-21</t>
  </si>
  <si>
    <t>FY 19-20</t>
  </si>
  <si>
    <t>FY 18-19</t>
  </si>
  <si>
    <t>FY 17-18</t>
  </si>
  <si>
    <t>FY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</si>
</sst>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8" tint="0.5999938962981048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/>
    </xf>
    <xf numFmtId="17" fontId="0" fillId="0" borderId="0" xfId="0" applyNumberFormat="1" applyAlignment="1">
      <alignment horizontal="center"/>
    </xf>
    <xf numFmtId="43" fontId="0" fillId="0" borderId="0" xfId="1" applyFont="1"/>
    <xf numFmtId="17" fontId="5" fillId="2" borderId="1" xfId="0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vertical="center"/>
    </xf>
    <xf numFmtId="17" fontId="0" fillId="0" borderId="0" xfId="0" applyNumberFormat="1"/>
    <xf numFmtId="43" fontId="6" fillId="0" borderId="0" xfId="1" applyFont="1"/>
    <xf numFmtId="43" fontId="0" fillId="0" borderId="0" xfId="0" applyNumberFormat="1"/>
    <xf numFmtId="9" fontId="0" fillId="0" borderId="0" xfId="0" applyNumberFormat="1"/>
    <xf numFmtId="10" fontId="0" fillId="3" borderId="0" xfId="0" applyNumberFormat="1" applyFill="1"/>
    <xf numFmtId="10" fontId="0" fillId="0" borderId="0" xfId="2" applyNumberFormat="1" applyFont="1"/>
    <xf numFmtId="43" fontId="3" fillId="0" borderId="0" xfId="1" applyFont="1" applyAlignment="1">
      <alignment horizontal="center"/>
    </xf>
    <xf numFmtId="43" fontId="6" fillId="3" borderId="0" xfId="0" applyNumberFormat="1" applyFont="1" applyFill="1"/>
    <xf numFmtId="10" fontId="0" fillId="0" borderId="0" xfId="0" applyNumberFormat="1"/>
    <xf numFmtId="43" fontId="0" fillId="4" borderId="0" xfId="1" applyFont="1" applyFill="1"/>
    <xf numFmtId="0" fontId="3" fillId="4" borderId="0" xfId="0" applyFont="1" applyFill="1"/>
    <xf numFmtId="0" fontId="0" fillId="4" borderId="0" xfId="0" applyFill="1"/>
    <xf numFmtId="0" fontId="0" fillId="0" borderId="5" xfId="0" applyBorder="1"/>
    <xf numFmtId="0" fontId="7" fillId="0" borderId="0" xfId="0" applyFont="1"/>
    <xf numFmtId="10" fontId="0" fillId="3" borderId="0" xfId="2" applyNumberFormat="1" applyFont="1" applyFill="1"/>
    <xf numFmtId="10" fontId="6" fillId="3" borderId="0" xfId="2" applyNumberFormat="1" applyFont="1" applyFill="1"/>
    <xf numFmtId="43" fontId="0" fillId="4" borderId="0" xfId="0" applyNumberFormat="1" applyFill="1"/>
    <xf numFmtId="0" fontId="8" fillId="4" borderId="0" xfId="0" applyFont="1" applyFill="1"/>
    <xf numFmtId="10" fontId="0" fillId="0" borderId="0" xfId="1" applyNumberFormat="1" applyFont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43" fontId="6" fillId="0" borderId="1" xfId="1" applyFont="1" applyBorder="1"/>
    <xf numFmtId="43" fontId="6" fillId="0" borderId="1" xfId="0" applyNumberFormat="1" applyFont="1" applyBorder="1"/>
    <xf numFmtId="0" fontId="3" fillId="0" borderId="1" xfId="0" applyFont="1" applyBorder="1"/>
    <xf numFmtId="43" fontId="4" fillId="0" borderId="2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E9D8-7520-4437-9FD7-D9BFB29283EE}">
  <dimension ref="A3:Q47"/>
  <sheetViews>
    <sheetView tabSelected="1" topLeftCell="C13" workbookViewId="0">
      <selection activeCell="E38" sqref="E38"/>
    </sheetView>
  </sheetViews>
  <sheetFormatPr defaultRowHeight="15" x14ac:dyDescent="0.25"/>
  <cols>
    <col min="3" max="3" width="11.7109375" customWidth="1"/>
    <col min="4" max="4" width="11.28515625" bestFit="1" customWidth="1"/>
    <col min="5" max="5" width="13.5703125" bestFit="1" customWidth="1"/>
    <col min="6" max="6" width="11.28515625" bestFit="1" customWidth="1"/>
    <col min="7" max="7" width="9.85546875" bestFit="1" customWidth="1"/>
    <col min="8" max="8" width="28.28515625" bestFit="1" customWidth="1"/>
    <col min="10" max="10" width="10.85546875" bestFit="1" customWidth="1"/>
    <col min="11" max="12" width="11.28515625" bestFit="1" customWidth="1"/>
    <col min="13" max="13" width="18.42578125" bestFit="1" customWidth="1"/>
    <col min="14" max="14" width="8.7109375" bestFit="1" customWidth="1"/>
  </cols>
  <sheetData>
    <row r="3" spans="1:15" x14ac:dyDescent="0.25">
      <c r="A3" s="1" t="s">
        <v>0</v>
      </c>
      <c r="B3" s="2" t="s">
        <v>1</v>
      </c>
    </row>
    <row r="4" spans="1:15" x14ac:dyDescent="0.25">
      <c r="B4" s="2" t="s">
        <v>2</v>
      </c>
    </row>
    <row r="5" spans="1:15" x14ac:dyDescent="0.25">
      <c r="B5" s="2" t="s">
        <v>3</v>
      </c>
      <c r="J5" s="3" t="s">
        <v>4</v>
      </c>
      <c r="K5" s="3" t="s">
        <v>5</v>
      </c>
      <c r="L5" s="3" t="s">
        <v>6</v>
      </c>
      <c r="M5" s="3" t="s">
        <v>7</v>
      </c>
      <c r="N5" s="3" t="s">
        <v>8</v>
      </c>
    </row>
    <row r="6" spans="1:15" x14ac:dyDescent="0.25">
      <c r="B6" s="2" t="s">
        <v>9</v>
      </c>
      <c r="J6" s="3"/>
      <c r="K6" s="3"/>
      <c r="L6" s="3"/>
      <c r="M6" s="3"/>
      <c r="N6" s="4"/>
    </row>
    <row r="7" spans="1:15" x14ac:dyDescent="0.25">
      <c r="B7" s="2"/>
      <c r="J7" s="5">
        <v>44743</v>
      </c>
      <c r="K7" s="6">
        <v>35417.08</v>
      </c>
      <c r="L7" s="6">
        <v>35453.850000000006</v>
      </c>
      <c r="M7" s="7">
        <v>37.01</v>
      </c>
      <c r="N7" s="39">
        <f>ROUND(((L7*M7)+(L8*M8)+(L9*M9))/L10,2)</f>
        <v>37.58</v>
      </c>
    </row>
    <row r="8" spans="1:15" x14ac:dyDescent="0.25">
      <c r="B8" t="s">
        <v>10</v>
      </c>
      <c r="J8" s="5">
        <v>44774</v>
      </c>
      <c r="K8" s="8" t="s">
        <v>11</v>
      </c>
      <c r="L8" s="6">
        <v>0</v>
      </c>
      <c r="M8" s="7">
        <v>0</v>
      </c>
      <c r="N8" s="40"/>
    </row>
    <row r="9" spans="1:15" x14ac:dyDescent="0.25">
      <c r="B9" s="9">
        <v>44743</v>
      </c>
      <c r="C9" s="10">
        <v>35417.08</v>
      </c>
      <c r="J9" s="5">
        <v>44805</v>
      </c>
      <c r="K9" s="6">
        <v>24234.27</v>
      </c>
      <c r="L9" s="6">
        <v>24134.999999999996</v>
      </c>
      <c r="M9" s="7">
        <v>38.409999999999997</v>
      </c>
      <c r="N9" s="41"/>
    </row>
    <row r="10" spans="1:15" x14ac:dyDescent="0.25">
      <c r="B10" s="9">
        <v>44774</v>
      </c>
      <c r="C10" s="10">
        <v>0</v>
      </c>
      <c r="J10" s="11" t="s">
        <v>12</v>
      </c>
      <c r="K10" s="12">
        <f>SUM(K7:K9)</f>
        <v>59651.350000000006</v>
      </c>
      <c r="L10" s="12">
        <f>SUM(L7:L9)</f>
        <v>59588.850000000006</v>
      </c>
      <c r="M10" s="13"/>
      <c r="N10" s="13"/>
    </row>
    <row r="11" spans="1:15" x14ac:dyDescent="0.25">
      <c r="B11" s="9">
        <v>44805</v>
      </c>
      <c r="C11" s="10">
        <v>24234.27</v>
      </c>
      <c r="N11" s="10">
        <v>36</v>
      </c>
      <c r="O11" s="2" t="s">
        <v>13</v>
      </c>
    </row>
    <row r="12" spans="1:15" x14ac:dyDescent="0.25">
      <c r="B12" s="14"/>
      <c r="C12" s="15">
        <f>SUM(C9:C11)</f>
        <v>59651.350000000006</v>
      </c>
      <c r="N12" s="16">
        <f>N11-N7</f>
        <v>-1.5799999999999983</v>
      </c>
      <c r="O12" s="2" t="s">
        <v>14</v>
      </c>
    </row>
    <row r="13" spans="1:15" x14ac:dyDescent="0.25">
      <c r="B13" s="14"/>
      <c r="F13" s="2" t="s">
        <v>15</v>
      </c>
      <c r="N13" s="16"/>
    </row>
    <row r="14" spans="1:15" x14ac:dyDescent="0.25">
      <c r="D14" s="10">
        <f>C12</f>
        <v>59651.350000000006</v>
      </c>
      <c r="E14" s="17">
        <v>0.85</v>
      </c>
      <c r="F14" s="18">
        <v>3.95E-2</v>
      </c>
      <c r="G14" s="19">
        <f>E14+F14</f>
        <v>0.88949999999999996</v>
      </c>
      <c r="M14" s="2" t="s">
        <v>16</v>
      </c>
      <c r="N14" s="16">
        <v>2.5</v>
      </c>
    </row>
    <row r="15" spans="1:15" x14ac:dyDescent="0.25">
      <c r="D15" s="10"/>
      <c r="M15" s="2" t="s">
        <v>17</v>
      </c>
      <c r="N15" s="16">
        <f>N14/1*0.58</f>
        <v>1.45</v>
      </c>
    </row>
    <row r="16" spans="1:15" x14ac:dyDescent="0.25">
      <c r="F16" s="20" t="s">
        <v>18</v>
      </c>
      <c r="G16" s="2" t="s">
        <v>19</v>
      </c>
      <c r="M16" s="2"/>
      <c r="N16" s="21">
        <f>N14+N15</f>
        <v>3.95</v>
      </c>
      <c r="O16" s="22">
        <v>3.95E-2</v>
      </c>
    </row>
    <row r="17" spans="1:17" x14ac:dyDescent="0.25">
      <c r="D17" s="10">
        <f>D14/E14</f>
        <v>70178.058823529427</v>
      </c>
      <c r="E17" s="10">
        <f>D14/G14</f>
        <v>67061.663856098938</v>
      </c>
      <c r="F17" s="10">
        <f>D17-E17</f>
        <v>3116.3949674304895</v>
      </c>
      <c r="G17" s="23">
        <f>F17*0.85</f>
        <v>2648.9357223159159</v>
      </c>
      <c r="H17" s="24" t="s">
        <v>20</v>
      </c>
      <c r="I17" s="25"/>
    </row>
    <row r="20" spans="1:17" ht="15.75" thickBo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2" spans="1:17" x14ac:dyDescent="0.25">
      <c r="P22">
        <f>P23*(1+3%)</f>
        <v>417.92250000000001</v>
      </c>
      <c r="Q22" t="s">
        <v>41</v>
      </c>
    </row>
    <row r="23" spans="1:17" x14ac:dyDescent="0.25">
      <c r="A23" s="1" t="s">
        <v>21</v>
      </c>
      <c r="B23" s="2" t="s">
        <v>1</v>
      </c>
      <c r="P23">
        <v>405.75</v>
      </c>
      <c r="Q23" t="s">
        <v>35</v>
      </c>
    </row>
    <row r="24" spans="1:17" x14ac:dyDescent="0.25">
      <c r="B24" s="2" t="s">
        <v>2</v>
      </c>
      <c r="P24">
        <f>P23/(1+3%)</f>
        <v>393.93203883495147</v>
      </c>
      <c r="Q24" t="s">
        <v>36</v>
      </c>
    </row>
    <row r="25" spans="1:17" x14ac:dyDescent="0.25">
      <c r="B25" s="2" t="s">
        <v>22</v>
      </c>
      <c r="J25" s="3" t="s">
        <v>4</v>
      </c>
      <c r="K25" s="3" t="s">
        <v>5</v>
      </c>
      <c r="L25" s="3" t="s">
        <v>6</v>
      </c>
      <c r="M25" s="3" t="s">
        <v>7</v>
      </c>
      <c r="N25" s="3" t="s">
        <v>8</v>
      </c>
      <c r="P25">
        <f>P24/(1+3%)</f>
        <v>382.45829013102082</v>
      </c>
      <c r="Q25" s="42" t="s">
        <v>37</v>
      </c>
    </row>
    <row r="26" spans="1:17" x14ac:dyDescent="0.25">
      <c r="B26" s="27" t="s">
        <v>23</v>
      </c>
      <c r="C26" s="27"/>
      <c r="D26" s="27"/>
      <c r="E26" s="27"/>
      <c r="J26" s="3"/>
      <c r="K26" s="3"/>
      <c r="L26" s="3"/>
      <c r="M26" s="3"/>
      <c r="N26" s="4"/>
      <c r="P26">
        <f>P25/(1+3%)</f>
        <v>371.3187282825445</v>
      </c>
      <c r="Q26" t="s">
        <v>38</v>
      </c>
    </row>
    <row r="27" spans="1:17" x14ac:dyDescent="0.25">
      <c r="B27" s="2"/>
      <c r="J27" s="5">
        <v>45108</v>
      </c>
      <c r="K27" s="6">
        <v>67953.880000000019</v>
      </c>
      <c r="L27" s="6">
        <v>68243.72</v>
      </c>
      <c r="M27" s="7">
        <v>35.89</v>
      </c>
      <c r="N27" s="39">
        <f>ROUND(((L27*M27)+(L28*M28)+(L29*M29))/L30,2)</f>
        <v>36.729999999999997</v>
      </c>
      <c r="P27">
        <f>P26/(1+3%)</f>
        <v>360.50361969179079</v>
      </c>
      <c r="Q27" t="s">
        <v>39</v>
      </c>
    </row>
    <row r="28" spans="1:17" x14ac:dyDescent="0.25">
      <c r="B28" s="2" t="s">
        <v>24</v>
      </c>
      <c r="J28" s="5">
        <v>45139</v>
      </c>
      <c r="K28" s="8">
        <v>84622.99</v>
      </c>
      <c r="L28" s="6">
        <v>84644.9</v>
      </c>
      <c r="M28" s="7">
        <v>38.33</v>
      </c>
      <c r="N28" s="40"/>
      <c r="P28">
        <f>P27/(1+3%)</f>
        <v>350.00351426387454</v>
      </c>
      <c r="Q28" t="s">
        <v>40</v>
      </c>
    </row>
    <row r="29" spans="1:17" x14ac:dyDescent="0.25">
      <c r="B29" s="9">
        <v>45108</v>
      </c>
      <c r="C29" s="10">
        <v>92342.96</v>
      </c>
      <c r="J29" s="5">
        <v>45170</v>
      </c>
      <c r="K29" s="6">
        <v>68959.5</v>
      </c>
      <c r="L29" s="6">
        <v>68022.600000000006</v>
      </c>
      <c r="M29" s="7">
        <v>35.581946911126408</v>
      </c>
      <c r="N29" s="41"/>
    </row>
    <row r="30" spans="1:17" x14ac:dyDescent="0.25">
      <c r="B30" s="9">
        <v>45139</v>
      </c>
      <c r="C30" s="10">
        <v>84267.409999999989</v>
      </c>
      <c r="J30" s="11" t="s">
        <v>12</v>
      </c>
      <c r="K30" s="12">
        <f>SUM(K27:K29)</f>
        <v>221536.37000000002</v>
      </c>
      <c r="L30" s="12">
        <f>SUM(L27:L29)</f>
        <v>220911.22</v>
      </c>
      <c r="M30" s="13"/>
      <c r="N30" s="13"/>
    </row>
    <row r="31" spans="1:17" x14ac:dyDescent="0.25">
      <c r="B31" s="9">
        <v>45170</v>
      </c>
      <c r="C31" s="10">
        <v>89603.890000000014</v>
      </c>
      <c r="N31" s="10">
        <v>36</v>
      </c>
      <c r="O31" s="2" t="s">
        <v>13</v>
      </c>
    </row>
    <row r="32" spans="1:17" x14ac:dyDescent="0.25">
      <c r="B32" s="14"/>
      <c r="C32" s="15">
        <f>SUM(C29:C31)</f>
        <v>266214.26</v>
      </c>
      <c r="D32" s="2" t="s">
        <v>25</v>
      </c>
      <c r="N32" s="16">
        <f>N31-N27</f>
        <v>-0.72999999999999687</v>
      </c>
      <c r="O32" s="2" t="s">
        <v>14</v>
      </c>
    </row>
    <row r="33" spans="1:15" x14ac:dyDescent="0.25">
      <c r="B33" s="14"/>
      <c r="N33" s="16"/>
    </row>
    <row r="34" spans="1:15" x14ac:dyDescent="0.25">
      <c r="E34" s="2" t="s">
        <v>26</v>
      </c>
      <c r="M34" s="2" t="s">
        <v>16</v>
      </c>
      <c r="N34" s="16">
        <v>0</v>
      </c>
    </row>
    <row r="35" spans="1:15" x14ac:dyDescent="0.25">
      <c r="D35" s="17">
        <v>0.85</v>
      </c>
      <c r="E35" s="16">
        <f>C32*D35</f>
        <v>226282.12100000001</v>
      </c>
      <c r="M35" s="2" t="s">
        <v>27</v>
      </c>
      <c r="N35" s="19">
        <f>2.5/1*0.73/100</f>
        <v>1.8249999999999999E-2</v>
      </c>
    </row>
    <row r="36" spans="1:15" x14ac:dyDescent="0.25">
      <c r="B36" s="2" t="s">
        <v>15</v>
      </c>
      <c r="C36" s="28">
        <v>1.825154E-2</v>
      </c>
      <c r="D36" s="19">
        <f>D35+C36</f>
        <v>0.86825153999999993</v>
      </c>
      <c r="E36" s="16">
        <f>C32*D36</f>
        <v>231140.94121496039</v>
      </c>
      <c r="F36" s="16"/>
      <c r="G36" s="16"/>
      <c r="M36" s="2"/>
      <c r="N36" s="29">
        <f>N34+N35</f>
        <v>1.8249999999999999E-2</v>
      </c>
      <c r="O36" s="22">
        <v>1.83E-2</v>
      </c>
    </row>
    <row r="37" spans="1:15" x14ac:dyDescent="0.25">
      <c r="E37" s="30">
        <f>E36-E35</f>
        <v>4858.8202149603749</v>
      </c>
      <c r="F37" s="24" t="s">
        <v>28</v>
      </c>
      <c r="G37" s="25"/>
      <c r="H37" s="31"/>
      <c r="J37" s="32"/>
      <c r="K37" s="19">
        <f>100%-D36</f>
        <v>0.13174846000000007</v>
      </c>
    </row>
    <row r="38" spans="1:15" x14ac:dyDescent="0.25">
      <c r="C38" s="33"/>
      <c r="D38" s="34"/>
      <c r="E38" s="35">
        <v>4858.82</v>
      </c>
      <c r="F38" s="35" t="s">
        <v>29</v>
      </c>
      <c r="G38" s="35"/>
      <c r="H38" s="35"/>
      <c r="I38" s="10"/>
      <c r="J38" s="10"/>
    </row>
    <row r="39" spans="1:15" x14ac:dyDescent="0.25">
      <c r="C39" s="33"/>
      <c r="D39" s="34"/>
      <c r="E39" s="34">
        <f>E37-E38</f>
        <v>2.1496037516044453E-4</v>
      </c>
      <c r="F39" s="34"/>
      <c r="G39" s="34"/>
      <c r="H39" s="34"/>
      <c r="I39" s="10"/>
      <c r="J39" s="10"/>
    </row>
    <row r="40" spans="1:15" x14ac:dyDescent="0.25">
      <c r="C40" s="33"/>
      <c r="D40" s="33"/>
      <c r="E40" s="33"/>
      <c r="F40" s="33"/>
      <c r="G40" s="33"/>
      <c r="H40" s="33"/>
    </row>
    <row r="41" spans="1:15" x14ac:dyDescent="0.25">
      <c r="C41" s="33"/>
      <c r="D41" s="36">
        <v>86.825153999999998</v>
      </c>
      <c r="E41" s="37">
        <f>ROUNDUP(E38/D41*100,2)+0.01</f>
        <v>5596.1100000000006</v>
      </c>
      <c r="F41" s="38" t="s">
        <v>30</v>
      </c>
      <c r="G41" s="33"/>
      <c r="H41" s="33"/>
    </row>
    <row r="42" spans="1:15" x14ac:dyDescent="0.25">
      <c r="C42" s="33"/>
      <c r="D42" s="33"/>
      <c r="E42" s="33"/>
      <c r="F42" s="33"/>
      <c r="G42" s="33"/>
      <c r="H42" s="33"/>
    </row>
    <row r="43" spans="1:15" x14ac:dyDescent="0.25">
      <c r="C43" s="38" t="s">
        <v>31</v>
      </c>
      <c r="D43" s="33"/>
      <c r="E43" s="33"/>
      <c r="F43" s="33"/>
      <c r="G43" s="33"/>
      <c r="H43" s="33"/>
    </row>
    <row r="44" spans="1:15" x14ac:dyDescent="0.25">
      <c r="C44" s="38" t="s">
        <v>32</v>
      </c>
      <c r="D44" s="33">
        <v>65785.679999999993</v>
      </c>
      <c r="E44" s="34">
        <f>ROUND(D44*15%,2)</f>
        <v>9867.85</v>
      </c>
      <c r="F44" s="33"/>
      <c r="G44" s="33"/>
      <c r="H44" s="33"/>
    </row>
    <row r="45" spans="1:15" x14ac:dyDescent="0.25">
      <c r="C45" s="33"/>
      <c r="D45" s="33"/>
      <c r="E45" s="34">
        <f>-E41</f>
        <v>-5596.1100000000006</v>
      </c>
      <c r="F45" s="38" t="s">
        <v>33</v>
      </c>
      <c r="G45" s="33"/>
      <c r="H45" s="33"/>
    </row>
    <row r="46" spans="1:15" x14ac:dyDescent="0.25">
      <c r="C46" s="33"/>
      <c r="D46" s="33"/>
      <c r="E46" s="36">
        <f>SUM(E44:E45)</f>
        <v>4271.74</v>
      </c>
      <c r="F46" s="38" t="s">
        <v>34</v>
      </c>
      <c r="G46" s="33"/>
      <c r="H46" s="33"/>
    </row>
    <row r="47" spans="1:15" ht="15.75" thickBo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</sheetData>
  <mergeCells count="2">
    <mergeCell ref="N7:N9"/>
    <mergeCell ref="N27:N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108C15A05914E986E7F6C9193E14D" ma:contentTypeVersion="19" ma:contentTypeDescription="Create a new document." ma:contentTypeScope="" ma:versionID="e4f72185b2b8f1116550f4c1eb5432d2">
  <xsd:schema xmlns:xsd="http://www.w3.org/2001/XMLSchema" xmlns:xs="http://www.w3.org/2001/XMLSchema" xmlns:p="http://schemas.microsoft.com/office/2006/metadata/properties" xmlns:ns2="2e87cc48-381b-4658-87a0-e3fdb9b3b4f1" xmlns:ns3="0f36c7ac-7dc9-422c-9797-2f7e55587fd4" targetNamespace="http://schemas.microsoft.com/office/2006/metadata/properties" ma:root="true" ma:fieldsID="ee675a03f2699c0cf91dd796e77f106d" ns2:_="" ns3:_="">
    <xsd:import namespace="2e87cc48-381b-4658-87a0-e3fdb9b3b4f1"/>
    <xsd:import namespace="0f36c7ac-7dc9-422c-9797-2f7e55587f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Thumbnai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7cc48-381b-4658-87a0-e3fdb9b3b4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6f31de-885e-4761-aa5d-19687a8f12e2}" ma:internalName="TaxCatchAll" ma:showField="CatchAllData" ma:web="2e87cc48-381b-4658-87a0-e3fdb9b3b4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6c7ac-7dc9-422c-9797-2f7e55587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514443-b7a3-4086-9c59-89a49c0c91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87cc48-381b-4658-87a0-e3fdb9b3b4f1" xsi:nil="true"/>
    <lcf76f155ced4ddcb4097134ff3c332f xmlns="0f36c7ac-7dc9-422c-9797-2f7e55587fd4">
      <Terms xmlns="http://schemas.microsoft.com/office/infopath/2007/PartnerControls"/>
    </lcf76f155ced4ddcb4097134ff3c332f>
    <Thumbnail xmlns="0f36c7ac-7dc9-422c-9797-2f7e55587fd4" xsi:nil="true"/>
  </documentManagement>
</p:properties>
</file>

<file path=customXml/itemProps1.xml><?xml version="1.0" encoding="utf-8"?>
<ds:datastoreItem xmlns:ds="http://schemas.openxmlformats.org/officeDocument/2006/customXml" ds:itemID="{86F211C5-73ED-422C-B021-ED12A6294E9D}"/>
</file>

<file path=customXml/itemProps2.xml><?xml version="1.0" encoding="utf-8"?>
<ds:datastoreItem xmlns:ds="http://schemas.openxmlformats.org/officeDocument/2006/customXml" ds:itemID="{84C3AC6A-EED8-49E9-AF6C-EF751D328D69}"/>
</file>

<file path=customXml/itemProps3.xml><?xml version="1.0" encoding="utf-8"?>
<ds:datastoreItem xmlns:ds="http://schemas.openxmlformats.org/officeDocument/2006/customXml" ds:itemID="{550ADC5B-08F9-4FD0-9A39-32E884F96E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 LADE</dc:creator>
  <cp:lastModifiedBy>ANUPAM PATRA</cp:lastModifiedBy>
  <dcterms:created xsi:type="dcterms:W3CDTF">2024-11-23T11:40:46Z</dcterms:created>
  <dcterms:modified xsi:type="dcterms:W3CDTF">2024-11-27T10:10:02Z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0x01010086A108C15A05914E986E7F6C9193E14D</vt:lpwstr>
  </property>
</Properties>
</file>