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30005997\Desktop\Supreme Final Tender Docts for Hiring of Buses\"/>
    </mc:Choice>
  </mc:AlternateContent>
  <xr:revisionPtr revIDLastSave="0" documentId="13_ncr:1_{A335275E-EFCD-4682-B0A7-29185B738CE0}" xr6:coauthVersionLast="47" xr6:coauthVersionMax="47" xr10:uidLastSave="{00000000-0000-0000-0000-000000000000}"/>
  <bookViews>
    <workbookView xWindow="-120" yWindow="-120" windowWidth="20730" windowHeight="11040" tabRatio="766" xr2:uid="{00000000-000D-0000-FFFF-FFFF00000000}"/>
  </bookViews>
  <sheets>
    <sheet name="Final SLA" sheetId="11" r:id="rId1"/>
    <sheet name="MP LD Illu." sheetId="4" state="hidden" r:id="rId2"/>
    <sheet name="Min. Wage Illu. " sheetId="6" state="hidden" r:id="rId3"/>
  </sheets>
  <definedNames>
    <definedName name="_xlnm.Print_Area" localSheetId="0">'Final SLA'!$A$1:$K$31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 i="11" l="1"/>
  <c r="H29" i="11"/>
  <c r="I28" i="11"/>
  <c r="I30" i="11"/>
  <c r="H30" i="11"/>
  <c r="H31" i="11" l="1"/>
  <c r="G14" i="11"/>
  <c r="H24" i="11"/>
  <c r="I24" i="11" s="1"/>
  <c r="H19" i="11"/>
  <c r="G19" i="11"/>
  <c r="H14" i="11"/>
  <c r="N12" i="11"/>
  <c r="P12" i="11" s="1"/>
  <c r="N11" i="11"/>
  <c r="P11" i="11" s="1"/>
  <c r="N10" i="11"/>
  <c r="P10" i="11" s="1"/>
  <c r="N9" i="11"/>
  <c r="P9" i="11" s="1"/>
  <c r="R8" i="11"/>
  <c r="S8" i="11" s="1"/>
  <c r="Q8" i="11"/>
  <c r="N8" i="11"/>
  <c r="P8" i="11" s="1"/>
  <c r="N7" i="11"/>
  <c r="P7" i="11" s="1"/>
  <c r="H6" i="11"/>
  <c r="G6" i="11"/>
  <c r="O12" i="11" l="1"/>
  <c r="I19" i="11"/>
  <c r="H27" i="11"/>
  <c r="I14" i="11"/>
  <c r="I6" i="11"/>
  <c r="T8" i="11"/>
  <c r="S9" i="11"/>
  <c r="S12" i="11" s="1"/>
  <c r="R9" i="11"/>
  <c r="R12" i="11" s="1"/>
  <c r="O8" i="11"/>
  <c r="O11" i="11"/>
  <c r="O7" i="11"/>
  <c r="O9" i="11"/>
  <c r="O10" i="11"/>
  <c r="I27" i="11" l="1"/>
  <c r="U8" i="11"/>
  <c r="T9" i="11"/>
  <c r="T12" i="11" s="1"/>
  <c r="I29" i="11" l="1"/>
  <c r="I31" i="11" s="1"/>
  <c r="U9" i="11"/>
  <c r="U12" i="11" s="1"/>
  <c r="V8" i="11"/>
  <c r="V9" i="11" s="1"/>
  <c r="V12" i="11" s="1"/>
  <c r="F25" i="6" l="1"/>
  <c r="E25" i="6"/>
  <c r="D25" i="6"/>
  <c r="F8" i="6"/>
  <c r="F9" i="6" s="1"/>
  <c r="E8" i="6"/>
  <c r="E9" i="6" s="1"/>
  <c r="D8" i="6"/>
  <c r="D9" i="6" s="1"/>
  <c r="D13" i="6" s="1"/>
  <c r="D14" i="6" s="1"/>
  <c r="D16" i="6" s="1"/>
  <c r="D17" i="6" s="1"/>
  <c r="D19" i="6" l="1"/>
  <c r="D21" i="6"/>
  <c r="D18" i="6"/>
  <c r="D20" i="6"/>
  <c r="D22" i="6" l="1"/>
  <c r="E13" i="6"/>
  <c r="E14" i="6" s="1"/>
  <c r="E16" i="6" s="1"/>
  <c r="E17" i="6" s="1"/>
  <c r="F13" i="6"/>
  <c r="F14" i="6" s="1"/>
  <c r="F16" i="6" s="1"/>
  <c r="F17" i="6" s="1"/>
  <c r="D23" i="6" l="1"/>
  <c r="D24" i="6" s="1"/>
  <c r="D26" i="6" s="1"/>
  <c r="F21" i="6"/>
  <c r="F19" i="6"/>
  <c r="F20" i="6"/>
  <c r="F18" i="6"/>
  <c r="E20" i="6"/>
  <c r="E18" i="6"/>
  <c r="E19" i="6"/>
  <c r="E21" i="6"/>
  <c r="E22" i="6" l="1"/>
  <c r="F22" i="6"/>
  <c r="D23" i="4"/>
  <c r="D24" i="4" s="1"/>
  <c r="D10" i="4"/>
  <c r="D9" i="4"/>
  <c r="D13" i="4"/>
  <c r="D14" i="4"/>
  <c r="D15" i="4" l="1"/>
  <c r="E23" i="6"/>
  <c r="E24" i="6" s="1"/>
  <c r="E26" i="6" s="1"/>
  <c r="F23" i="6"/>
  <c r="F24" i="6" s="1"/>
  <c r="F26" i="6" s="1"/>
  <c r="D16" i="4"/>
  <c r="D17" i="4" s="1"/>
  <c r="D26" i="4" s="1"/>
</calcChain>
</file>

<file path=xl/sharedStrings.xml><?xml version="1.0" encoding="utf-8"?>
<sst xmlns="http://schemas.openxmlformats.org/spreadsheetml/2006/main" count="198" uniqueCount="156">
  <si>
    <t>Sr. No.</t>
  </si>
  <si>
    <t>Description</t>
  </si>
  <si>
    <t>Weightage</t>
  </si>
  <si>
    <t>Category</t>
  </si>
  <si>
    <t>UoM</t>
  </si>
  <si>
    <t>Value</t>
  </si>
  <si>
    <t>Rs.</t>
  </si>
  <si>
    <t>Manpower Category : Housekeeping Supervisor</t>
  </si>
  <si>
    <t>Rs. per 
Man-day</t>
  </si>
  <si>
    <t>No. of Normal Working Days (NWD) in the month</t>
  </si>
  <si>
    <t>Man-Day</t>
  </si>
  <si>
    <t>Day</t>
  </si>
  <si>
    <t>No.</t>
  </si>
  <si>
    <t xml:space="preserve">Average Man-day Rate (= '9' ÷ '10') </t>
  </si>
  <si>
    <t>Total No. of Days in the Month</t>
  </si>
  <si>
    <t>Note:</t>
  </si>
  <si>
    <t>Calculated figures under above Sr. Nos. 11, 15, 17 &amp; 18 shall be rounded to nearest integer value.</t>
  </si>
  <si>
    <t xml:space="preserve">Sr. No. </t>
  </si>
  <si>
    <t>UOM</t>
  </si>
  <si>
    <t>Semi-skilled Manpower</t>
  </si>
  <si>
    <t>Un-skilled Manpower</t>
  </si>
  <si>
    <t>Remarks</t>
  </si>
  <si>
    <t>Rs./ day</t>
  </si>
  <si>
    <t>PF, EDLI &amp; Admin. Charges</t>
  </si>
  <si>
    <t xml:space="preserve">Bonus </t>
  </si>
  <si>
    <t>Leave Entitlement</t>
  </si>
  <si>
    <t>Figures given in the above table are for illustration purpose only. The figures w.r.t. category-wise Man-month rates, manpower counts etc. shall be as per final Contract.</t>
  </si>
  <si>
    <t>Month : July 2018 (say)</t>
  </si>
  <si>
    <t>a</t>
  </si>
  <si>
    <t>b</t>
  </si>
  <si>
    <t>Illustration for Change in Man-Month/ Man-day Rates w.r.t. Changes in Minimum Wages Declared by the State Government</t>
  </si>
  <si>
    <t>Existing minimum wages w.e.f. 01.04.2018 (say)</t>
  </si>
  <si>
    <t>Skilled Manpower</t>
  </si>
  <si>
    <t>SCHEDULE - 7 (PART - G)</t>
  </si>
  <si>
    <t>SCHEDULE - 7 (PART - H)</t>
  </si>
  <si>
    <t>Illustration for Calculation of LD Against Shortfall in Manpower Deployment</t>
  </si>
  <si>
    <t>Calculation of LD Against Shortfall in Manpower Deployment</t>
  </si>
  <si>
    <t>LD Against Shortfall in Manpower Deployment
(if '16' &lt; '15', = ('14' - '16') * '11' * 1.5, else = ('14' - '16') * '11'</t>
  </si>
  <si>
    <t>Yearly Salary for Manpower Deployed on NWD basis
(= '3' * '1')</t>
  </si>
  <si>
    <t>Man-month Rate on 365D basis (say)</t>
  </si>
  <si>
    <t>Man-month Rate on NWD basis (say)</t>
  </si>
  <si>
    <t>No./ Year</t>
  </si>
  <si>
    <t>Rs./ Year</t>
  </si>
  <si>
    <t>Rs./ Month</t>
  </si>
  <si>
    <t>Yearly Salary for Manpower Deployed on 365D basis
(= '7' * '1')</t>
  </si>
  <si>
    <t>Total Scheduled 'NWD' Man-days (= '2' * 305)</t>
  </si>
  <si>
    <t>Total Scheduled '365D' Man-days (= '6' * 365)</t>
  </si>
  <si>
    <t>Total Scheduled Man-days per Annum (= '3' + '7')</t>
  </si>
  <si>
    <t>Total Scheduled Salary per Annum (= '4' + '8')</t>
  </si>
  <si>
    <t xml:space="preserve">Total Scheduled Man-days for the Month
(= '2' * '12' + '6' * '13') </t>
  </si>
  <si>
    <t>Manpower Scheduled on NWD basis (say)</t>
  </si>
  <si>
    <t>Manpower Scheduled on 365D basis (say)</t>
  </si>
  <si>
    <t>Actual Monthly Manpower Deployment (say)</t>
  </si>
  <si>
    <t>Min. Monthly Manpower Deployment Required (= 14' * 90%)</t>
  </si>
  <si>
    <t>Calculation of Weighted. Average Man-day Rate</t>
  </si>
  <si>
    <t>Man-day</t>
  </si>
  <si>
    <t>Notes:</t>
  </si>
  <si>
    <t>As per Govt. notification
(say w.e.f. 01.10.2018)</t>
  </si>
  <si>
    <t>Basic + VDA 
1st revision during 1st Contract Year (say)</t>
  </si>
  <si>
    <t>Basic + VDA 
2nd revision during 1st Contract Year (say)</t>
  </si>
  <si>
    <t>Base Basic + VDA
(i.e. Base Minimum Wages considered in the Agreement)</t>
  </si>
  <si>
    <t>Months</t>
  </si>
  <si>
    <t>As per Govt. notification
(say w.e.f. 01.04.2019)</t>
  </si>
  <si>
    <t>Illustration for 1st Contract Year (i.e. from 01.07.2018 to 30.06.2019)</t>
  </si>
  <si>
    <t>c</t>
  </si>
  <si>
    <t>d</t>
  </si>
  <si>
    <t>e</t>
  </si>
  <si>
    <t>f</t>
  </si>
  <si>
    <t>g</t>
  </si>
  <si>
    <t>h</t>
  </si>
  <si>
    <t>i</t>
  </si>
  <si>
    <t>j</t>
  </si>
  <si>
    <t>k</t>
  </si>
  <si>
    <t>l</t>
  </si>
  <si>
    <t>m</t>
  </si>
  <si>
    <t>n</t>
  </si>
  <si>
    <t>p</t>
  </si>
  <si>
    <t>q</t>
  </si>
  <si>
    <t>r</t>
  </si>
  <si>
    <t>s</t>
  </si>
  <si>
    <t>t</t>
  </si>
  <si>
    <t>u</t>
  </si>
  <si>
    <t>Period of applicability of min. wages under Sr. No. a</t>
  </si>
  <si>
    <t>Period of applicability of min. wages under Sr. No. b</t>
  </si>
  <si>
    <t>Period of applicability of min. wages under Sr. No. c</t>
  </si>
  <si>
    <t>Wtd. Avg. Basic + VDA
for 1st Contract Year
[ = a*d + b*e + c*f / (d+e+f) ]</t>
  </si>
  <si>
    <t>% Variance w.r.t. '1'
[ = (g ÷ a) - 1]</t>
  </si>
  <si>
    <t>Annual Escalation Considered in The Agreement</t>
  </si>
  <si>
    <t>% Change in Min. Wages in Excess of Allowed Annual Escalation [ = h - i ]</t>
  </si>
  <si>
    <t>%</t>
  </si>
  <si>
    <t>Commercial Impact of Change in Min. Wages [ = a * j ]</t>
  </si>
  <si>
    <t>13.16% of 'k'</t>
  </si>
  <si>
    <t>5% of 'k'</t>
  </si>
  <si>
    <t>Sub-Total [ sum of k to p ]</t>
  </si>
  <si>
    <t>= q * 1/6 (if applicable)</t>
  </si>
  <si>
    <t>8.33% of 'k' (if applicable)</t>
  </si>
  <si>
    <t>Reliever Cost</t>
  </si>
  <si>
    <t>Workman Compensation/ ESIC</t>
  </si>
  <si>
    <t>WC @ 1% of 'k' or ESIC
(as applicable)</t>
  </si>
  <si>
    <t>Sub-Total [ = q + r ]
(rounded to 2 decimal places)</t>
  </si>
  <si>
    <t>Reimbursement Amount Against Changes in Min. Wages for 1st Contract Year
(rounded to nearest integer)</t>
  </si>
  <si>
    <t>Bonus, in above illustration, shall be payable only if the Min. Wages are in excess of Rs. 7000/- per month.</t>
  </si>
  <si>
    <t>The cost impact of increase or reduction in minimum wage rates shall be calculated on a weighted average basis and reconciled/ adjusted at the end of every Contract Year.</t>
  </si>
  <si>
    <t>Either of Workmen Compensation Policy or ESIC (as applicable for the site) shall be applicable for the above calculations. Rate of ESIC shall be based on relevant rules &amp; regulations.</t>
  </si>
  <si>
    <t>The reimbursement against changes in minimum wages shall be payable only for specified manpower categories which are impacted due to such changes.</t>
  </si>
  <si>
    <t>Actual Category-wise Manpower Deployment During The Period</t>
  </si>
  <si>
    <t>Cumulative actual Man-days for the Contract Year</t>
  </si>
  <si>
    <t>The IFMS Provider shall submit separate supplementary invoice for same, along with all supporting documents and calculations as per actual category-wise manpower deployed during the subject Contract Year.</t>
  </si>
  <si>
    <t>SLA Description</t>
  </si>
  <si>
    <t>SLA Measurement Criteria</t>
  </si>
  <si>
    <t>K Factor</t>
  </si>
  <si>
    <t>Actual Values</t>
  </si>
  <si>
    <t>Applicable K Factor</t>
  </si>
  <si>
    <t>Monthly Amount Considering actual value of K Factor</t>
  </si>
  <si>
    <t>Reference data</t>
  </si>
  <si>
    <t xml:space="preserve">d = a  x Monthly Amount </t>
  </si>
  <si>
    <t>e = c x d</t>
  </si>
  <si>
    <t>Manual</t>
  </si>
  <si>
    <t>1day</t>
  </si>
  <si>
    <t>2day</t>
  </si>
  <si>
    <t>3day</t>
  </si>
  <si>
    <t>Unhygeine or Non-working of AC in Vehicle</t>
  </si>
  <si>
    <t>Drink &amp; Drive Instance</t>
  </si>
  <si>
    <t>4days</t>
  </si>
  <si>
    <t>5days</t>
  </si>
  <si>
    <t>No instance</t>
  </si>
  <si>
    <t>1 instance</t>
  </si>
  <si>
    <t>2 instance</t>
  </si>
  <si>
    <t>3 instance &amp; above</t>
  </si>
  <si>
    <t>2 days</t>
  </si>
  <si>
    <t>3 days &amp; more</t>
  </si>
  <si>
    <t>Zero day</t>
  </si>
  <si>
    <t>1 day</t>
  </si>
  <si>
    <t xml:space="preserve">Monthly Amount Considering K=1 Factor </t>
  </si>
  <si>
    <t>VA= N (30 days)</t>
  </si>
  <si>
    <t>VA= N-1</t>
  </si>
  <si>
    <t>VA=N-2</t>
  </si>
  <si>
    <t>VA=N-3</t>
  </si>
  <si>
    <t>VA=N-4</t>
  </si>
  <si>
    <t>VA=N-5</t>
  </si>
  <si>
    <t>VA &lt; (N-5)</t>
  </si>
  <si>
    <t>29 days</t>
  </si>
  <si>
    <t>% of (80%)</t>
  </si>
  <si>
    <t>% of 100% rental</t>
  </si>
  <si>
    <t>deduction</t>
  </si>
  <si>
    <t>Fixed Monthly Hiring (Rs.), say (Excl. GST)</t>
  </si>
  <si>
    <t>Monthly Payout for Fixed Monthly Cost (= ''1'' + ''2'' + ''3'' + ''4'')</t>
  </si>
  <si>
    <t>In Drink &amp; Drive instance, in addition to the penalty, the driver shall also be replaced by the service provider. Employer also has the right to terminate the contract.</t>
  </si>
  <si>
    <t>ANNEXURE - III
Service Level Agreements (SLAs) - Vehicle Hiring Services</t>
  </si>
  <si>
    <t>Service non-compliances:
a) Uniform &amp; Shoes/ Proper dressing
b) Rash Driving/ Overspeed driving
c) Cleaniness of Vehicle
d) Non Valid or Non Availability of Valid Documents (incl. Driving license)
e) Behavioural Issue of Driver
f) Driving without Seat Belt
g) Using Mobile Phone while Driving 
h) Absence of Cleaner/Helper</t>
  </si>
  <si>
    <t>Vehicle Availability (VA)
Vehicle-1 (say, AC Bus -18 seater, 12 Hrs. basis)
N= 30 days (no. of days in a month)</t>
  </si>
  <si>
    <t>Monthly rental charges</t>
  </si>
  <si>
    <t>Total Monthly Payout for a Vehicle (= '' 7'' + ''8'')</t>
  </si>
  <si>
    <t>Monthly payout rental charges (For k=1, '6', For actual K, = 1,86,744- (72,696-62,155)=1,76,203/-</t>
  </si>
  <si>
    <t xml:space="preserve">Say, for AC Bus-18 seater,  24 Hrs basis @ Rs. 1,86,744/- per month 
KM Charges= Diesel base price/Mileage=95/8= Rs. 11.88/- per KM (Approx.)
Hence, monthly fix charge= Total monthly rental charge- Km charges per month
                                                   i.e  for 9600 km
                                               = 1,86,744-11.88x9600= Rs, 72,696/- per month
</t>
  </si>
  <si>
    <r>
      <t xml:space="preserve">Monthly Payout for Extra Running KM Cost:
 </t>
    </r>
    <r>
      <rPr>
        <sz val="10"/>
        <color theme="1"/>
        <rFont val="Adani Regular"/>
      </rPr>
      <t>[Actual extra KM running over and above fix monthly 9600 KM x Unit rate (Rs./KM)], 
Unit extra km rate: Rs. 18.37 /KM (say)
Hence, extra running KM for 150 km (say)= 18.37x150=2,756/-
[Total KM running: 9750 KM (say) , Extra running Km- 9750-9600= 150 km]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</si>
</sst>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_ * #,##0.00_ ;_ * \-#,##0.00_ ;_ * &quot;-&quot;??_ ;_ @_ "/>
    <numFmt numFmtId="165" formatCode="_(* #,##0.00_);_(* \(#,##0.00\);_(* &quot;-&quot;_);_(@_)"/>
    <numFmt numFmtId="166" formatCode="_(* #,##0_);_(* \(#,##0\);_(* &quot;-&quot;??_);_(@_)"/>
    <numFmt numFmtId="167" formatCode="_ * #,##0_ ;_ * \-#,##0_ ;_ * &quot;-&quot;??_ ;_ @_ "/>
    <numFmt numFmtId="168" formatCode="0.0%"/>
  </numFmts>
  <fonts count="13" x14ac:knownFonts="1">
    <font>
      <sz val="10"/>
      <color theme="1"/>
      <name val="Adani Regular"/>
      <family val="2"/>
    </font>
    <font>
      <sz val="11"/>
      <color theme="1"/>
      <name val="Calibri"/>
      <family val="2"/>
      <scheme val="minor"/>
    </font>
    <font>
      <sz val="11"/>
      <color theme="1"/>
      <name val="Calibri"/>
      <family val="2"/>
      <scheme val="minor"/>
    </font>
    <font>
      <b/>
      <sz val="10"/>
      <color theme="1"/>
      <name val="Adani Regular"/>
    </font>
    <font>
      <sz val="10"/>
      <color theme="1"/>
      <name val="Adani Regular"/>
    </font>
    <font>
      <sz val="10"/>
      <color theme="1"/>
      <name val="Adani Regular"/>
      <family val="2"/>
    </font>
    <font>
      <b/>
      <sz val="12"/>
      <color theme="1"/>
      <name val="Adani Regular"/>
    </font>
    <font>
      <sz val="10"/>
      <name val="Arial"/>
      <family val="2"/>
    </font>
    <font>
      <b/>
      <sz val="10"/>
      <color rgb="FF000000"/>
      <name val="Adani Regular"/>
    </font>
    <font>
      <sz val="10"/>
      <color rgb="FF000000"/>
      <name val="Adani Regular"/>
    </font>
    <font>
      <b/>
      <sz val="14"/>
      <color theme="1"/>
      <name val="Adani Regular"/>
    </font>
    <font>
      <sz val="10"/>
      <name val="Adani Regular"/>
    </font>
    <font>
      <b/>
      <sz val="10"/>
      <name val="Adani Regula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41" fontId="5" fillId="0" borderId="0" applyFont="0" applyFill="0" applyBorder="0" applyAlignment="0" applyProtection="0"/>
    <xf numFmtId="9" fontId="5" fillId="0" borderId="0" applyFont="0" applyFill="0" applyBorder="0" applyAlignment="0" applyProtection="0"/>
    <xf numFmtId="0" fontId="7" fillId="0" borderId="0"/>
    <xf numFmtId="164" fontId="5" fillId="0" borderId="0" applyFont="0" applyFill="0" applyBorder="0" applyAlignment="0" applyProtection="0"/>
    <xf numFmtId="0" fontId="7" fillId="0" borderId="0"/>
    <xf numFmtId="0" fontId="7"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cellStyleXfs>
  <cellXfs count="140">
    <xf numFmtId="0" fontId="0" fillId="0" borderId="0" xfId="0"/>
    <xf numFmtId="0" fontId="4" fillId="0" borderId="0" xfId="3" applyFont="1" applyAlignment="1">
      <alignment vertical="center" wrapText="1"/>
    </xf>
    <xf numFmtId="0" fontId="3" fillId="0" borderId="1" xfId="3" applyFont="1" applyBorder="1" applyAlignment="1">
      <alignment horizontal="center" vertical="center" wrapText="1"/>
    </xf>
    <xf numFmtId="0" fontId="3" fillId="0" borderId="1" xfId="3" applyFont="1" applyBorder="1" applyAlignment="1">
      <alignment horizontal="left" vertical="center" wrapText="1"/>
    </xf>
    <xf numFmtId="0" fontId="4" fillId="0" borderId="0" xfId="3" applyFont="1" applyAlignment="1">
      <alignment horizontal="left" vertical="center" wrapText="1"/>
    </xf>
    <xf numFmtId="0" fontId="4" fillId="0" borderId="1" xfId="3" applyFont="1" applyBorder="1" applyAlignment="1">
      <alignment horizontal="center" vertical="center" wrapText="1"/>
    </xf>
    <xf numFmtId="0" fontId="4" fillId="0" borderId="1" xfId="3" applyFont="1" applyBorder="1" applyAlignment="1">
      <alignment horizontal="left" vertical="center" wrapText="1"/>
    </xf>
    <xf numFmtId="0" fontId="3" fillId="0" borderId="0" xfId="3" applyFont="1" applyAlignment="1">
      <alignment horizontal="left" vertical="center"/>
    </xf>
    <xf numFmtId="0" fontId="4" fillId="0" borderId="0" xfId="3" applyFont="1" applyAlignment="1">
      <alignment horizontal="center" vertical="center" wrapText="1"/>
    </xf>
    <xf numFmtId="41" fontId="4" fillId="0" borderId="1" xfId="1" applyFont="1" applyBorder="1" applyAlignment="1">
      <alignment horizontal="left" vertical="center" wrapText="1"/>
    </xf>
    <xf numFmtId="165" fontId="4" fillId="0" borderId="1" xfId="1" applyNumberFormat="1" applyFont="1" applyBorder="1" applyAlignment="1">
      <alignment horizontal="left" vertical="center" wrapText="1"/>
    </xf>
    <xf numFmtId="0" fontId="4" fillId="0" borderId="0" xfId="3" applyFont="1" applyAlignment="1">
      <alignment wrapText="1"/>
    </xf>
    <xf numFmtId="0" fontId="4" fillId="0" borderId="0" xfId="3" applyFont="1" applyAlignment="1">
      <alignment horizontal="center" wrapText="1"/>
    </xf>
    <xf numFmtId="0" fontId="4" fillId="0" borderId="0" xfId="3" applyFont="1" applyAlignment="1">
      <alignment vertical="top" wrapText="1"/>
    </xf>
    <xf numFmtId="0" fontId="3" fillId="0" borderId="0" xfId="3" applyFont="1" applyAlignment="1">
      <alignment vertical="top" wrapText="1"/>
    </xf>
    <xf numFmtId="0" fontId="4" fillId="0" borderId="0" xfId="3" applyFont="1" applyAlignment="1">
      <alignment horizontal="center" vertical="top"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10" fontId="9" fillId="0" borderId="1" xfId="0" applyNumberFormat="1" applyFont="1" applyBorder="1" applyAlignment="1">
      <alignment horizontal="right" vertical="center" wrapText="1"/>
    </xf>
    <xf numFmtId="0" fontId="9" fillId="2" borderId="1" xfId="0" applyFont="1" applyFill="1" applyBorder="1" applyAlignment="1">
      <alignment horizontal="left" vertical="center" wrapText="1"/>
    </xf>
    <xf numFmtId="10" fontId="9" fillId="2" borderId="1" xfId="0" applyNumberFormat="1" applyFont="1" applyFill="1" applyBorder="1" applyAlignment="1">
      <alignment horizontal="right" vertical="center" wrapText="1"/>
    </xf>
    <xf numFmtId="10" fontId="8" fillId="2"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0" borderId="0" xfId="0" applyFont="1" applyFill="1" applyAlignment="1">
      <alignment vertical="center"/>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1" fontId="9" fillId="0" borderId="1" xfId="1" applyFont="1" applyBorder="1" applyAlignment="1">
      <alignment horizontal="left" vertical="center" wrapText="1"/>
    </xf>
    <xf numFmtId="2" fontId="8" fillId="0" borderId="1" xfId="0" applyNumberFormat="1" applyFont="1" applyBorder="1" applyAlignment="1">
      <alignment horizontal="right" vertical="center" wrapText="1"/>
    </xf>
    <xf numFmtId="165" fontId="9" fillId="2" borderId="1" xfId="1" applyNumberFormat="1" applyFont="1" applyFill="1" applyBorder="1" applyAlignment="1">
      <alignment horizontal="right" vertical="center" wrapText="1"/>
    </xf>
    <xf numFmtId="165" fontId="9" fillId="0" borderId="1" xfId="1" applyNumberFormat="1" applyFont="1" applyBorder="1" applyAlignment="1">
      <alignment horizontal="right" vertical="center" wrapText="1"/>
    </xf>
    <xf numFmtId="165" fontId="8" fillId="2" borderId="1" xfId="1" applyNumberFormat="1" applyFont="1" applyFill="1" applyBorder="1" applyAlignment="1">
      <alignment horizontal="right" vertical="center" wrapText="1"/>
    </xf>
    <xf numFmtId="0" fontId="9" fillId="0" borderId="1" xfId="0" quotePrefix="1" applyFont="1" applyBorder="1" applyAlignment="1">
      <alignment horizontal="left" vertical="center" wrapText="1"/>
    </xf>
    <xf numFmtId="41" fontId="9" fillId="0" borderId="1" xfId="1" applyNumberFormat="1" applyFont="1" applyBorder="1" applyAlignment="1">
      <alignment horizontal="right" vertical="center" wrapText="1"/>
    </xf>
    <xf numFmtId="41" fontId="8" fillId="2" borderId="1" xfId="1" applyNumberFormat="1" applyFont="1" applyFill="1" applyBorder="1" applyAlignment="1">
      <alignment horizontal="right" vertical="center" wrapText="1"/>
    </xf>
    <xf numFmtId="0" fontId="0" fillId="0" borderId="0" xfId="0" applyAlignment="1">
      <alignment vertical="top"/>
    </xf>
    <xf numFmtId="0" fontId="3" fillId="0" borderId="0" xfId="0" applyFont="1" applyAlignment="1">
      <alignment vertical="top"/>
    </xf>
    <xf numFmtId="0" fontId="0" fillId="0" borderId="0" xfId="0" applyAlignment="1">
      <alignment horizontal="center" vertical="top"/>
    </xf>
    <xf numFmtId="166" fontId="3" fillId="0" borderId="1" xfId="4"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pplyProtection="1">
      <alignment vertical="center"/>
    </xf>
    <xf numFmtId="0" fontId="4" fillId="0" borderId="1" xfId="0"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1" xfId="0"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0" borderId="1" xfId="0" applyFont="1" applyBorder="1" applyAlignment="1">
      <alignment vertical="center"/>
    </xf>
    <xf numFmtId="0" fontId="3" fillId="0" borderId="1"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pplyProtection="1"/>
    <xf numFmtId="0" fontId="11" fillId="0" borderId="1" xfId="0" applyFont="1" applyBorder="1" applyAlignment="1">
      <alignment vertical="center"/>
    </xf>
    <xf numFmtId="0" fontId="12" fillId="0" borderId="1" xfId="0" applyFont="1" applyFill="1" applyBorder="1" applyAlignment="1" applyProtection="1">
      <alignment vertical="center"/>
    </xf>
    <xf numFmtId="0" fontId="3" fillId="4" borderId="1" xfId="0" applyNumberFormat="1" applyFont="1" applyFill="1" applyBorder="1" applyAlignment="1" applyProtection="1">
      <alignment horizontal="center" vertical="center"/>
    </xf>
    <xf numFmtId="166" fontId="3" fillId="4" borderId="1" xfId="0" applyNumberFormat="1" applyFont="1" applyFill="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3" fillId="4" borderId="1"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center" vertical="center"/>
    </xf>
    <xf numFmtId="1" fontId="4" fillId="0" borderId="0" xfId="0" applyNumberFormat="1" applyFont="1" applyFill="1" applyAlignment="1" applyProtection="1">
      <alignment horizontal="center" vertical="center"/>
    </xf>
    <xf numFmtId="167" fontId="4" fillId="0" borderId="0" xfId="4" applyNumberFormat="1" applyFont="1" applyFill="1" applyAlignment="1" applyProtection="1">
      <alignment horizontal="center" vertical="center"/>
    </xf>
    <xf numFmtId="168" fontId="4" fillId="0" borderId="0" xfId="2" applyNumberFormat="1" applyFont="1" applyFill="1" applyAlignment="1" applyProtection="1">
      <alignment horizontal="center" vertical="center"/>
    </xf>
    <xf numFmtId="9" fontId="4" fillId="0" borderId="0" xfId="2" applyFont="1" applyFill="1" applyAlignment="1" applyProtection="1">
      <alignment vertical="center"/>
    </xf>
    <xf numFmtId="0" fontId="3" fillId="4" borderId="1" xfId="0" applyFont="1" applyFill="1" applyBorder="1" applyAlignment="1" applyProtection="1">
      <alignment horizontal="left" vertical="center"/>
    </xf>
    <xf numFmtId="166" fontId="4" fillId="0" borderId="0" xfId="0" applyNumberFormat="1" applyFont="1" applyFill="1" applyAlignment="1">
      <alignment horizontal="center" vertical="center"/>
    </xf>
    <xf numFmtId="0" fontId="4" fillId="0" borderId="1" xfId="0" applyFont="1" applyFill="1" applyBorder="1" applyAlignment="1" applyProtection="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pplyProtection="1">
      <alignment vertical="center"/>
    </xf>
    <xf numFmtId="0" fontId="3" fillId="0" borderId="8" xfId="0" applyFont="1" applyFill="1" applyBorder="1" applyAlignment="1" applyProtection="1">
      <alignment horizontal="center" vertical="center" wrapText="1"/>
    </xf>
    <xf numFmtId="0" fontId="4" fillId="0" borderId="8" xfId="0" applyFont="1" applyFill="1" applyBorder="1" applyAlignment="1" applyProtection="1">
      <alignment vertical="center"/>
    </xf>
    <xf numFmtId="0" fontId="3" fillId="0" borderId="8" xfId="0" applyFont="1" applyFill="1" applyBorder="1" applyAlignment="1" applyProtection="1">
      <alignment horizontal="center" vertical="center"/>
    </xf>
    <xf numFmtId="164" fontId="4" fillId="0" borderId="9" xfId="4" applyFont="1" applyFill="1" applyBorder="1" applyAlignment="1" applyProtection="1">
      <alignment vertical="center" wrapText="1"/>
    </xf>
    <xf numFmtId="0" fontId="3" fillId="4" borderId="8" xfId="0" applyFont="1" applyFill="1" applyBorder="1" applyAlignment="1" applyProtection="1">
      <alignment horizontal="center" vertical="center"/>
    </xf>
    <xf numFmtId="164" fontId="4" fillId="4" borderId="9" xfId="4" applyFont="1" applyFill="1" applyBorder="1" applyAlignment="1" applyProtection="1">
      <alignment vertical="center" wrapText="1"/>
    </xf>
    <xf numFmtId="0" fontId="3" fillId="4" borderId="12" xfId="0" applyFont="1" applyFill="1" applyBorder="1" applyAlignment="1" applyProtection="1">
      <alignment horizontal="center" vertical="center"/>
    </xf>
    <xf numFmtId="0" fontId="3" fillId="4" borderId="15" xfId="0" applyNumberFormat="1" applyFont="1" applyFill="1" applyBorder="1" applyAlignment="1" applyProtection="1">
      <alignment horizontal="center" vertical="center"/>
    </xf>
    <xf numFmtId="166" fontId="3" fillId="4" borderId="15" xfId="0" applyNumberFormat="1" applyFont="1" applyFill="1" applyBorder="1" applyAlignment="1" applyProtection="1">
      <alignment horizontal="center" vertical="center"/>
    </xf>
    <xf numFmtId="0" fontId="4" fillId="4" borderId="15" xfId="0" applyFont="1" applyFill="1" applyBorder="1" applyAlignment="1" applyProtection="1">
      <alignment horizontal="center" vertical="center" wrapText="1"/>
    </xf>
    <xf numFmtId="164" fontId="4" fillId="4" borderId="16" xfId="4" applyFont="1" applyFill="1" applyBorder="1" applyAlignment="1" applyProtection="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8"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9" fontId="4" fillId="3" borderId="1" xfId="2" applyFont="1" applyFill="1" applyBorder="1" applyAlignment="1" applyProtection="1">
      <alignment horizontal="center" vertical="center"/>
    </xf>
    <xf numFmtId="2" fontId="4" fillId="0" borderId="1" xfId="0" applyNumberFormat="1" applyFont="1" applyFill="1" applyBorder="1" applyAlignment="1" applyProtection="1">
      <alignment horizontal="center" vertical="center"/>
    </xf>
    <xf numFmtId="166" fontId="4" fillId="0" borderId="1" xfId="4"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164" fontId="4" fillId="0" borderId="9" xfId="4" applyFont="1" applyFill="1" applyBorder="1" applyAlignment="1" applyProtection="1">
      <alignment horizontal="left" vertical="center" wrapText="1"/>
    </xf>
    <xf numFmtId="9" fontId="11" fillId="0" borderId="1" xfId="2" applyNumberFormat="1" applyFont="1" applyFill="1" applyBorder="1" applyAlignment="1" applyProtection="1">
      <alignment horizontal="center" vertical="center"/>
    </xf>
    <xf numFmtId="0" fontId="3" fillId="4" borderId="3" xfId="0" applyFont="1" applyFill="1" applyBorder="1" applyAlignment="1" applyProtection="1">
      <alignment vertical="center"/>
    </xf>
    <xf numFmtId="166" fontId="3" fillId="4" borderId="1" xfId="0" applyNumberFormat="1" applyFont="1" applyFill="1" applyBorder="1" applyAlignment="1" applyProtection="1">
      <alignment horizontal="right" vertical="center"/>
    </xf>
    <xf numFmtId="166" fontId="3" fillId="4" borderId="1" xfId="0" applyNumberFormat="1" applyFont="1" applyFill="1" applyBorder="1" applyAlignment="1" applyProtection="1">
      <alignment horizontal="left" vertical="center"/>
    </xf>
    <xf numFmtId="0" fontId="3" fillId="4" borderId="4" xfId="0" applyFont="1" applyFill="1" applyBorder="1" applyAlignment="1" applyProtection="1">
      <alignment horizontal="left" vertical="center"/>
    </xf>
    <xf numFmtId="164" fontId="4" fillId="0" borderId="10" xfId="4" applyFont="1" applyFill="1" applyBorder="1" applyAlignment="1" applyProtection="1">
      <alignment vertical="center" wrapText="1"/>
    </xf>
    <xf numFmtId="164" fontId="4" fillId="0" borderId="11" xfId="4" applyFont="1" applyFill="1" applyBorder="1" applyAlignment="1" applyProtection="1">
      <alignment vertical="center" wrapText="1"/>
    </xf>
    <xf numFmtId="0" fontId="3" fillId="4" borderId="4"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xf>
    <xf numFmtId="0" fontId="3" fillId="4" borderId="13" xfId="0" applyFont="1" applyFill="1" applyBorder="1" applyAlignment="1" applyProtection="1">
      <alignment horizontal="left" vertical="center"/>
    </xf>
    <xf numFmtId="0" fontId="3" fillId="4" borderId="14" xfId="0" applyFont="1" applyFill="1" applyBorder="1" applyAlignment="1" applyProtection="1">
      <alignment horizontal="left" vertical="center"/>
    </xf>
    <xf numFmtId="0" fontId="4" fillId="0" borderId="1" xfId="0" applyFont="1" applyFill="1" applyBorder="1" applyAlignment="1" applyProtection="1">
      <alignment horizontal="center" vertical="center" wrapText="1"/>
    </xf>
    <xf numFmtId="164" fontId="4" fillId="0" borderId="9" xfId="4" applyFont="1" applyFill="1" applyBorder="1" applyAlignment="1" applyProtection="1">
      <alignment horizontal="left" vertical="center" wrapText="1"/>
    </xf>
    <xf numFmtId="166" fontId="4" fillId="0" borderId="1" xfId="4" applyNumberFormat="1" applyFont="1" applyFill="1" applyBorder="1" applyAlignment="1" applyProtection="1">
      <alignment horizontal="center" vertical="center"/>
    </xf>
    <xf numFmtId="0" fontId="3" fillId="4" borderId="4" xfId="0" applyFont="1" applyFill="1" applyBorder="1" applyAlignment="1" applyProtection="1">
      <alignment horizontal="left" vertical="center"/>
    </xf>
    <xf numFmtId="0" fontId="4" fillId="0" borderId="8"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9" fontId="11" fillId="0" borderId="1" xfId="2" applyNumberFormat="1" applyFont="1" applyFill="1" applyBorder="1" applyAlignment="1" applyProtection="1">
      <alignment horizontal="center" vertical="center"/>
    </xf>
    <xf numFmtId="9" fontId="4" fillId="3" borderId="1" xfId="2" applyFont="1" applyFill="1" applyBorder="1" applyAlignment="1" applyProtection="1">
      <alignment horizontal="center" vertical="center"/>
    </xf>
    <xf numFmtId="2" fontId="4" fillId="0"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9" fontId="11" fillId="0" borderId="1" xfId="2" applyFont="1" applyFill="1" applyBorder="1" applyAlignment="1" applyProtection="1">
      <alignment horizontal="center" vertical="center"/>
    </xf>
    <xf numFmtId="10" fontId="4" fillId="0" borderId="9" xfId="2" applyNumberFormat="1" applyFont="1" applyFill="1" applyBorder="1" applyAlignment="1" applyProtection="1">
      <alignment horizontal="lef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12" fillId="0" borderId="1" xfId="5"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12" fillId="0" borderId="9" xfId="0" applyFont="1" applyFill="1" applyBorder="1" applyAlignment="1">
      <alignment vertical="center"/>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3" applyFont="1" applyAlignment="1">
      <alignment horizontal="left" vertical="top" wrapText="1"/>
    </xf>
    <xf numFmtId="0" fontId="6" fillId="0" borderId="0" xfId="3" applyFont="1" applyAlignment="1">
      <alignment horizontal="center" vertical="top" wrapText="1"/>
    </xf>
    <xf numFmtId="0" fontId="3" fillId="0" borderId="2" xfId="3"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xf>
    <xf numFmtId="0" fontId="6" fillId="0" borderId="0" xfId="0" applyFont="1" applyAlignment="1">
      <alignment horizontal="center" vertical="top"/>
    </xf>
    <xf numFmtId="0" fontId="6" fillId="0" borderId="0" xfId="0" applyFont="1" applyAlignment="1">
      <alignment horizontal="center" vertical="top" wrapText="1"/>
    </xf>
    <xf numFmtId="164" fontId="4" fillId="0" borderId="0" xfId="4" applyNumberFormat="1" applyFont="1" applyFill="1" applyAlignment="1">
      <alignment vertical="center"/>
    </xf>
  </cellXfs>
  <cellStyles count="11">
    <cellStyle name="Comma" xfId="4" builtinId="3"/>
    <cellStyle name="Comma [0]" xfId="1" builtinId="6"/>
    <cellStyle name="Comma 2" xfId="8" xr:uid="{00000000-0005-0000-0000-000002000000}"/>
    <cellStyle name="Normal" xfId="0" builtinId="0"/>
    <cellStyle name="Normal 2" xfId="3" xr:uid="{00000000-0005-0000-0000-000004000000}"/>
    <cellStyle name="Normal 3" xfId="6" xr:uid="{00000000-0005-0000-0000-000005000000}"/>
    <cellStyle name="Normal 4" xfId="7" xr:uid="{00000000-0005-0000-0000-000006000000}"/>
    <cellStyle name="Normal 5" xfId="10" xr:uid="{00000000-0005-0000-0000-000007000000}"/>
    <cellStyle name="Normal_Persona2" xfId="5" xr:uid="{00000000-0005-0000-0000-000008000000}"/>
    <cellStyle name="Percent" xfId="2" builtinId="5"/>
    <cellStyle name="Percent 2"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5"/>
  <sheetViews>
    <sheetView tabSelected="1" view="pageBreakPreview" zoomScale="80" zoomScaleNormal="80" zoomScaleSheetLayoutView="80" workbookViewId="0">
      <selection activeCell="C3" sqref="C3:C4"/>
    </sheetView>
  </sheetViews>
  <sheetFormatPr defaultColWidth="8.88671875" defaultRowHeight="13.5" x14ac:dyDescent="0.25"/>
  <cols>
    <col min="1" max="1" width="6.33203125" style="48" customWidth="1"/>
    <col min="2" max="2" width="33.88671875" style="48" customWidth="1"/>
    <col min="3" max="3" width="40.33203125" style="28" customWidth="1"/>
    <col min="4" max="4" width="9.33203125" style="48" customWidth="1"/>
    <col min="5" max="5" width="8.5546875" style="48" customWidth="1"/>
    <col min="6" max="6" width="10.44140625" style="48" customWidth="1"/>
    <col min="7" max="7" width="8.5546875" style="48" customWidth="1"/>
    <col min="8" max="8" width="17.109375" style="48" customWidth="1"/>
    <col min="9" max="9" width="13.44140625" style="48" customWidth="1"/>
    <col min="10" max="10" width="12.5546875" style="28" customWidth="1"/>
    <col min="11" max="11" width="34.6640625" style="28" customWidth="1"/>
    <col min="12" max="12" width="8.88671875" style="28"/>
    <col min="13" max="13" width="9.33203125" style="28" bestFit="1" customWidth="1"/>
    <col min="14" max="17" width="8.88671875" style="28"/>
    <col min="18" max="19" width="6" style="28" bestFit="1" customWidth="1"/>
    <col min="20" max="20" width="7.21875" style="28" bestFit="1" customWidth="1"/>
    <col min="21" max="16384" width="8.88671875" style="28"/>
  </cols>
  <sheetData>
    <row r="1" spans="1:22" ht="50.25" customHeight="1" x14ac:dyDescent="0.25">
      <c r="A1" s="121" t="s">
        <v>148</v>
      </c>
      <c r="B1" s="122"/>
      <c r="C1" s="122"/>
      <c r="D1" s="122"/>
      <c r="E1" s="122"/>
      <c r="F1" s="122"/>
      <c r="G1" s="122"/>
      <c r="H1" s="122"/>
      <c r="I1" s="122"/>
      <c r="J1" s="122"/>
      <c r="K1" s="123"/>
    </row>
    <row r="2" spans="1:22" ht="119.25" customHeight="1" x14ac:dyDescent="0.25">
      <c r="A2" s="124"/>
      <c r="B2" s="125"/>
      <c r="C2" s="125"/>
      <c r="D2" s="125"/>
      <c r="E2" s="125"/>
      <c r="F2" s="126" t="s">
        <v>145</v>
      </c>
      <c r="G2" s="126"/>
      <c r="H2" s="46">
        <v>72696</v>
      </c>
      <c r="I2" s="127" t="s">
        <v>154</v>
      </c>
      <c r="J2" s="128"/>
      <c r="K2" s="129"/>
      <c r="M2" s="139">
        <f>186744-11.88*9600</f>
        <v>72695.999999999985</v>
      </c>
    </row>
    <row r="3" spans="1:22" s="58" customFormat="1" ht="61.5" customHeight="1" x14ac:dyDescent="0.25">
      <c r="A3" s="130" t="s">
        <v>0</v>
      </c>
      <c r="B3" s="131" t="s">
        <v>108</v>
      </c>
      <c r="C3" s="131" t="s">
        <v>109</v>
      </c>
      <c r="D3" s="89" t="s">
        <v>110</v>
      </c>
      <c r="E3" s="89" t="s">
        <v>2</v>
      </c>
      <c r="F3" s="89" t="s">
        <v>111</v>
      </c>
      <c r="G3" s="89" t="s">
        <v>112</v>
      </c>
      <c r="H3" s="89" t="s">
        <v>133</v>
      </c>
      <c r="I3" s="89" t="s">
        <v>113</v>
      </c>
      <c r="J3" s="57" t="s">
        <v>114</v>
      </c>
      <c r="K3" s="75" t="s">
        <v>21</v>
      </c>
    </row>
    <row r="4" spans="1:22" s="49" customFormat="1" ht="35.25" customHeight="1" x14ac:dyDescent="0.25">
      <c r="A4" s="130"/>
      <c r="B4" s="131"/>
      <c r="C4" s="131"/>
      <c r="D4" s="53"/>
      <c r="E4" s="88" t="s">
        <v>28</v>
      </c>
      <c r="F4" s="89" t="s">
        <v>29</v>
      </c>
      <c r="G4" s="89" t="s">
        <v>64</v>
      </c>
      <c r="H4" s="89" t="s">
        <v>115</v>
      </c>
      <c r="I4" s="89" t="s">
        <v>116</v>
      </c>
      <c r="J4" s="51"/>
      <c r="K4" s="76"/>
    </row>
    <row r="5" spans="1:22" s="59" customFormat="1" ht="23.25" customHeight="1" x14ac:dyDescent="0.25">
      <c r="A5" s="77"/>
      <c r="B5" s="117"/>
      <c r="C5" s="117"/>
      <c r="D5" s="117"/>
      <c r="E5" s="117"/>
      <c r="F5" s="117"/>
      <c r="G5" s="117"/>
      <c r="H5" s="117"/>
      <c r="I5" s="117"/>
      <c r="J5" s="117"/>
      <c r="K5" s="118"/>
      <c r="N5" s="59" t="s">
        <v>144</v>
      </c>
      <c r="O5" s="59" t="s">
        <v>142</v>
      </c>
      <c r="P5" s="59" t="s">
        <v>143</v>
      </c>
    </row>
    <row r="6" spans="1:22" s="52" customFormat="1" ht="18" customHeight="1" x14ac:dyDescent="0.25">
      <c r="A6" s="112">
        <v>1</v>
      </c>
      <c r="B6" s="113" t="s">
        <v>150</v>
      </c>
      <c r="C6" s="60" t="s">
        <v>134</v>
      </c>
      <c r="D6" s="93">
        <v>1</v>
      </c>
      <c r="E6" s="119">
        <v>0.5</v>
      </c>
      <c r="F6" s="115" t="s">
        <v>141</v>
      </c>
      <c r="G6" s="116">
        <f>+D7</f>
        <v>0.95</v>
      </c>
      <c r="H6" s="110">
        <f>E6*$H$2</f>
        <v>36348</v>
      </c>
      <c r="I6" s="110">
        <f>G6*H6</f>
        <v>34530.6</v>
      </c>
      <c r="J6" s="108" t="s">
        <v>117</v>
      </c>
      <c r="K6" s="120"/>
      <c r="M6" s="52">
        <v>32000</v>
      </c>
      <c r="R6" s="66" t="s">
        <v>118</v>
      </c>
      <c r="S6" s="66" t="s">
        <v>119</v>
      </c>
      <c r="T6" s="66" t="s">
        <v>120</v>
      </c>
      <c r="U6" s="66" t="s">
        <v>123</v>
      </c>
      <c r="V6" s="66" t="s">
        <v>124</v>
      </c>
    </row>
    <row r="7" spans="1:22" s="49" customFormat="1" ht="18" customHeight="1" x14ac:dyDescent="0.25">
      <c r="A7" s="112"/>
      <c r="B7" s="113"/>
      <c r="C7" s="56" t="s">
        <v>135</v>
      </c>
      <c r="D7" s="93">
        <v>0.95</v>
      </c>
      <c r="E7" s="119"/>
      <c r="F7" s="115"/>
      <c r="G7" s="116"/>
      <c r="H7" s="110"/>
      <c r="I7" s="110"/>
      <c r="J7" s="108"/>
      <c r="K7" s="120"/>
      <c r="M7" s="49">
        <v>30400</v>
      </c>
      <c r="N7" s="52">
        <f t="shared" ref="N7:N12" si="0">$M$6-M7</f>
        <v>1600</v>
      </c>
      <c r="O7" s="71">
        <f t="shared" ref="O7:O12" si="1">N7/$M$6</f>
        <v>0.05</v>
      </c>
      <c r="P7" s="71">
        <f t="shared" ref="P7:P12" si="2">N7/$H$2</f>
        <v>2.2009464069549907E-2</v>
      </c>
      <c r="Q7" s="49">
        <v>40000</v>
      </c>
      <c r="R7" s="67">
        <v>30</v>
      </c>
      <c r="S7" s="67"/>
      <c r="T7" s="67"/>
      <c r="U7" s="67"/>
      <c r="V7" s="67"/>
    </row>
    <row r="8" spans="1:22" s="49" customFormat="1" ht="18" customHeight="1" x14ac:dyDescent="0.25">
      <c r="A8" s="112"/>
      <c r="B8" s="113"/>
      <c r="C8" s="56" t="s">
        <v>136</v>
      </c>
      <c r="D8" s="93">
        <v>0.9</v>
      </c>
      <c r="E8" s="119"/>
      <c r="F8" s="115"/>
      <c r="G8" s="116"/>
      <c r="H8" s="110"/>
      <c r="I8" s="110"/>
      <c r="J8" s="108"/>
      <c r="K8" s="120"/>
      <c r="M8" s="49">
        <v>28800</v>
      </c>
      <c r="N8" s="52">
        <f t="shared" si="0"/>
        <v>3200</v>
      </c>
      <c r="O8" s="71">
        <f t="shared" si="1"/>
        <v>0.1</v>
      </c>
      <c r="P8" s="71">
        <f t="shared" si="2"/>
        <v>4.4018928139099814E-2</v>
      </c>
      <c r="Q8" s="49">
        <f>80%*Q7</f>
        <v>32000</v>
      </c>
      <c r="R8" s="68">
        <f>Q7/R7</f>
        <v>1333.3333333333333</v>
      </c>
      <c r="S8" s="68">
        <f>R8</f>
        <v>1333.3333333333333</v>
      </c>
      <c r="T8" s="68">
        <f>S8</f>
        <v>1333.3333333333333</v>
      </c>
      <c r="U8" s="68">
        <f>T8</f>
        <v>1333.3333333333333</v>
      </c>
      <c r="V8" s="68">
        <f>U8</f>
        <v>1333.3333333333333</v>
      </c>
    </row>
    <row r="9" spans="1:22" s="49" customFormat="1" ht="18" customHeight="1" x14ac:dyDescent="0.25">
      <c r="A9" s="112"/>
      <c r="B9" s="113"/>
      <c r="C9" s="56" t="s">
        <v>137</v>
      </c>
      <c r="D9" s="93">
        <v>0.8</v>
      </c>
      <c r="E9" s="119"/>
      <c r="F9" s="115"/>
      <c r="G9" s="116"/>
      <c r="H9" s="110"/>
      <c r="I9" s="110"/>
      <c r="J9" s="108"/>
      <c r="K9" s="120"/>
      <c r="M9" s="49">
        <v>25600</v>
      </c>
      <c r="N9" s="52">
        <f t="shared" si="0"/>
        <v>6400</v>
      </c>
      <c r="O9" s="71">
        <f t="shared" si="1"/>
        <v>0.2</v>
      </c>
      <c r="P9" s="71">
        <f t="shared" si="2"/>
        <v>8.8037856278199628E-2</v>
      </c>
      <c r="R9" s="69">
        <f>1*R8</f>
        <v>1333.3333333333333</v>
      </c>
      <c r="S9" s="69">
        <f>(1*S8+1*S8)</f>
        <v>2666.6666666666665</v>
      </c>
      <c r="T9" s="69">
        <f>(3*1.5*T8)</f>
        <v>6000</v>
      </c>
      <c r="U9" s="69">
        <f>(4*1.5*U8)</f>
        <v>8000</v>
      </c>
      <c r="V9" s="69">
        <f>(5*1.5*V8)</f>
        <v>10000</v>
      </c>
    </row>
    <row r="10" spans="1:22" s="49" customFormat="1" ht="18" customHeight="1" x14ac:dyDescent="0.25">
      <c r="A10" s="112"/>
      <c r="B10" s="113"/>
      <c r="C10" s="56" t="s">
        <v>138</v>
      </c>
      <c r="D10" s="93">
        <v>0.75</v>
      </c>
      <c r="E10" s="119"/>
      <c r="F10" s="115"/>
      <c r="G10" s="116"/>
      <c r="H10" s="110"/>
      <c r="I10" s="110"/>
      <c r="J10" s="108"/>
      <c r="K10" s="120"/>
      <c r="M10" s="49">
        <v>24000</v>
      </c>
      <c r="N10" s="52">
        <f t="shared" si="0"/>
        <v>8000</v>
      </c>
      <c r="O10" s="71">
        <f t="shared" si="1"/>
        <v>0.25</v>
      </c>
      <c r="P10" s="71">
        <f t="shared" si="2"/>
        <v>0.11004732034774953</v>
      </c>
      <c r="R10" s="69"/>
      <c r="S10" s="69"/>
      <c r="T10" s="69"/>
      <c r="U10" s="69"/>
      <c r="V10" s="69"/>
    </row>
    <row r="11" spans="1:22" s="49" customFormat="1" ht="18" customHeight="1" x14ac:dyDescent="0.25">
      <c r="A11" s="112"/>
      <c r="B11" s="113"/>
      <c r="C11" s="56" t="s">
        <v>139</v>
      </c>
      <c r="D11" s="93">
        <v>0.7</v>
      </c>
      <c r="E11" s="119"/>
      <c r="F11" s="115"/>
      <c r="G11" s="116"/>
      <c r="H11" s="110"/>
      <c r="I11" s="110"/>
      <c r="J11" s="108"/>
      <c r="K11" s="120"/>
      <c r="M11" s="49">
        <v>22400</v>
      </c>
      <c r="N11" s="52">
        <f t="shared" si="0"/>
        <v>9600</v>
      </c>
      <c r="O11" s="71">
        <f t="shared" si="1"/>
        <v>0.3</v>
      </c>
      <c r="P11" s="71">
        <f t="shared" si="2"/>
        <v>0.13205678441729943</v>
      </c>
      <c r="R11" s="69"/>
      <c r="S11" s="69"/>
      <c r="T11" s="69"/>
      <c r="U11" s="69"/>
      <c r="V11" s="69"/>
    </row>
    <row r="12" spans="1:22" s="49" customFormat="1" ht="18" customHeight="1" x14ac:dyDescent="0.25">
      <c r="A12" s="112"/>
      <c r="B12" s="113"/>
      <c r="C12" s="56" t="s">
        <v>140</v>
      </c>
      <c r="D12" s="93">
        <v>0</v>
      </c>
      <c r="E12" s="119"/>
      <c r="F12" s="115"/>
      <c r="G12" s="116"/>
      <c r="H12" s="110"/>
      <c r="I12" s="110"/>
      <c r="J12" s="108"/>
      <c r="K12" s="120"/>
      <c r="M12" s="49">
        <v>0</v>
      </c>
      <c r="N12" s="52">
        <f t="shared" si="0"/>
        <v>32000</v>
      </c>
      <c r="O12" s="71">
        <f t="shared" si="1"/>
        <v>1</v>
      </c>
      <c r="P12" s="71">
        <f t="shared" si="2"/>
        <v>0.44018928139099811</v>
      </c>
      <c r="R12" s="70">
        <f>R9/$Q$8</f>
        <v>4.1666666666666664E-2</v>
      </c>
      <c r="S12" s="70">
        <f>S9/$Q$8</f>
        <v>8.3333333333333329E-2</v>
      </c>
      <c r="T12" s="70">
        <f>T9/$Q$8</f>
        <v>0.1875</v>
      </c>
      <c r="U12" s="70">
        <f>U9/$Q$8</f>
        <v>0.25</v>
      </c>
      <c r="V12" s="70">
        <f>V9/$Q$8</f>
        <v>0.3125</v>
      </c>
    </row>
    <row r="13" spans="1:22" s="49" customFormat="1" ht="18" customHeight="1" x14ac:dyDescent="0.25">
      <c r="A13" s="78"/>
      <c r="B13" s="74"/>
      <c r="C13" s="50"/>
      <c r="D13" s="74"/>
      <c r="E13" s="74"/>
      <c r="F13" s="55"/>
      <c r="G13" s="74"/>
      <c r="H13" s="74"/>
      <c r="I13" s="74"/>
      <c r="J13" s="50"/>
      <c r="K13" s="76"/>
    </row>
    <row r="14" spans="1:22" s="49" customFormat="1" ht="35.1" customHeight="1" x14ac:dyDescent="0.25">
      <c r="A14" s="112">
        <v>2</v>
      </c>
      <c r="B14" s="113" t="s">
        <v>149</v>
      </c>
      <c r="C14" s="56" t="s">
        <v>125</v>
      </c>
      <c r="D14" s="47">
        <v>1</v>
      </c>
      <c r="E14" s="114">
        <v>0.15</v>
      </c>
      <c r="F14" s="115" t="s">
        <v>127</v>
      </c>
      <c r="G14" s="116">
        <f>+D16</f>
        <v>0.7</v>
      </c>
      <c r="H14" s="110">
        <f>E14*$H$2</f>
        <v>10904.4</v>
      </c>
      <c r="I14" s="110">
        <f>G14*H14</f>
        <v>7633.079999999999</v>
      </c>
      <c r="J14" s="108" t="s">
        <v>117</v>
      </c>
      <c r="K14" s="109"/>
    </row>
    <row r="15" spans="1:22" s="49" customFormat="1" ht="35.1" customHeight="1" x14ac:dyDescent="0.25">
      <c r="A15" s="112"/>
      <c r="B15" s="113"/>
      <c r="C15" s="56" t="s">
        <v>126</v>
      </c>
      <c r="D15" s="47">
        <v>0.85</v>
      </c>
      <c r="E15" s="114"/>
      <c r="F15" s="115"/>
      <c r="G15" s="116"/>
      <c r="H15" s="110"/>
      <c r="I15" s="110"/>
      <c r="J15" s="108"/>
      <c r="K15" s="109"/>
      <c r="M15" s="49">
        <v>400</v>
      </c>
      <c r="R15" s="49">
        <v>500</v>
      </c>
    </row>
    <row r="16" spans="1:22" s="49" customFormat="1" ht="35.1" customHeight="1" x14ac:dyDescent="0.25">
      <c r="A16" s="112"/>
      <c r="B16" s="113"/>
      <c r="C16" s="56" t="s">
        <v>127</v>
      </c>
      <c r="D16" s="47">
        <v>0.7</v>
      </c>
      <c r="E16" s="114"/>
      <c r="F16" s="115"/>
      <c r="G16" s="116"/>
      <c r="H16" s="110"/>
      <c r="I16" s="110"/>
      <c r="J16" s="108"/>
      <c r="K16" s="109"/>
      <c r="M16" s="49">
        <v>600</v>
      </c>
    </row>
    <row r="17" spans="1:13" s="49" customFormat="1" ht="39" customHeight="1" x14ac:dyDescent="0.25">
      <c r="A17" s="112"/>
      <c r="B17" s="113"/>
      <c r="C17" s="56" t="s">
        <v>128</v>
      </c>
      <c r="D17" s="47">
        <v>0</v>
      </c>
      <c r="E17" s="114"/>
      <c r="F17" s="115"/>
      <c r="G17" s="116"/>
      <c r="H17" s="110"/>
      <c r="I17" s="110"/>
      <c r="J17" s="108"/>
      <c r="K17" s="109"/>
      <c r="M17" s="49">
        <v>2000</v>
      </c>
    </row>
    <row r="18" spans="1:13" s="49" customFormat="1" ht="27" customHeight="1" x14ac:dyDescent="0.25">
      <c r="A18" s="90"/>
      <c r="B18" s="91"/>
      <c r="C18" s="56"/>
      <c r="D18" s="47"/>
      <c r="E18" s="97"/>
      <c r="F18" s="92"/>
      <c r="G18" s="93"/>
      <c r="H18" s="94"/>
      <c r="I18" s="94"/>
      <c r="J18" s="95"/>
      <c r="K18" s="96"/>
    </row>
    <row r="19" spans="1:13" s="49" customFormat="1" ht="24.95" customHeight="1" x14ac:dyDescent="0.25">
      <c r="A19" s="112">
        <v>3</v>
      </c>
      <c r="B19" s="113" t="s">
        <v>121</v>
      </c>
      <c r="C19" s="56" t="s">
        <v>131</v>
      </c>
      <c r="D19" s="47">
        <v>1</v>
      </c>
      <c r="E19" s="114">
        <v>0.25</v>
      </c>
      <c r="F19" s="115" t="s">
        <v>132</v>
      </c>
      <c r="G19" s="116">
        <f>+D20</f>
        <v>0.7</v>
      </c>
      <c r="H19" s="110">
        <f>E19*$H$2</f>
        <v>18174</v>
      </c>
      <c r="I19" s="110">
        <f>G19*H19</f>
        <v>12721.8</v>
      </c>
      <c r="J19" s="108" t="s">
        <v>117</v>
      </c>
      <c r="K19" s="109"/>
    </row>
    <row r="20" spans="1:13" s="49" customFormat="1" ht="24.95" customHeight="1" x14ac:dyDescent="0.25">
      <c r="A20" s="112"/>
      <c r="B20" s="113"/>
      <c r="C20" s="56" t="s">
        <v>132</v>
      </c>
      <c r="D20" s="47">
        <v>0.7</v>
      </c>
      <c r="E20" s="114"/>
      <c r="F20" s="115"/>
      <c r="G20" s="116"/>
      <c r="H20" s="110"/>
      <c r="I20" s="110"/>
      <c r="J20" s="108"/>
      <c r="K20" s="109"/>
      <c r="M20" s="49">
        <v>400</v>
      </c>
    </row>
    <row r="21" spans="1:13" s="49" customFormat="1" ht="24.95" customHeight="1" x14ac:dyDescent="0.25">
      <c r="A21" s="112"/>
      <c r="B21" s="113"/>
      <c r="C21" s="56" t="s">
        <v>129</v>
      </c>
      <c r="D21" s="47">
        <v>0.4</v>
      </c>
      <c r="E21" s="114"/>
      <c r="F21" s="115"/>
      <c r="G21" s="116"/>
      <c r="H21" s="110"/>
      <c r="I21" s="110"/>
      <c r="J21" s="108"/>
      <c r="K21" s="109"/>
      <c r="M21" s="49">
        <v>800</v>
      </c>
    </row>
    <row r="22" spans="1:13" s="49" customFormat="1" ht="24.95" customHeight="1" x14ac:dyDescent="0.25">
      <c r="A22" s="112"/>
      <c r="B22" s="113"/>
      <c r="C22" s="56" t="s">
        <v>130</v>
      </c>
      <c r="D22" s="47">
        <v>0</v>
      </c>
      <c r="E22" s="114"/>
      <c r="F22" s="115"/>
      <c r="G22" s="116"/>
      <c r="H22" s="110"/>
      <c r="I22" s="110"/>
      <c r="J22" s="108"/>
      <c r="K22" s="109"/>
      <c r="M22" s="49">
        <v>4000</v>
      </c>
    </row>
    <row r="23" spans="1:13" s="49" customFormat="1" ht="24.95" customHeight="1" x14ac:dyDescent="0.25">
      <c r="A23" s="90"/>
      <c r="B23" s="91"/>
      <c r="C23" s="56"/>
      <c r="D23" s="47"/>
      <c r="E23" s="97"/>
      <c r="F23" s="92"/>
      <c r="G23" s="93"/>
      <c r="H23" s="94"/>
      <c r="I23" s="94"/>
      <c r="J23" s="95"/>
      <c r="K23" s="96"/>
    </row>
    <row r="24" spans="1:13" s="49" customFormat="1" ht="30" customHeight="1" x14ac:dyDescent="0.25">
      <c r="A24" s="112">
        <v>4</v>
      </c>
      <c r="B24" s="113" t="s">
        <v>122</v>
      </c>
      <c r="C24" s="56" t="s">
        <v>125</v>
      </c>
      <c r="D24" s="47">
        <v>1</v>
      </c>
      <c r="E24" s="114">
        <v>0.1</v>
      </c>
      <c r="F24" s="115" t="s">
        <v>125</v>
      </c>
      <c r="G24" s="116">
        <v>1</v>
      </c>
      <c r="H24" s="110">
        <f>E24*$H$2</f>
        <v>7269.6</v>
      </c>
      <c r="I24" s="110">
        <f>G24*H24</f>
        <v>7269.6</v>
      </c>
      <c r="J24" s="108" t="s">
        <v>117</v>
      </c>
      <c r="K24" s="102" t="s">
        <v>147</v>
      </c>
    </row>
    <row r="25" spans="1:13" s="49" customFormat="1" ht="30" customHeight="1" x14ac:dyDescent="0.25">
      <c r="A25" s="112"/>
      <c r="B25" s="113"/>
      <c r="C25" s="56" t="s">
        <v>126</v>
      </c>
      <c r="D25" s="47">
        <v>0</v>
      </c>
      <c r="E25" s="114"/>
      <c r="F25" s="115"/>
      <c r="G25" s="116"/>
      <c r="H25" s="110"/>
      <c r="I25" s="110"/>
      <c r="J25" s="108"/>
      <c r="K25" s="103"/>
    </row>
    <row r="26" spans="1:13" s="49" customFormat="1" ht="18" customHeight="1" x14ac:dyDescent="0.25">
      <c r="A26" s="79"/>
      <c r="B26" s="53"/>
      <c r="C26" s="61"/>
      <c r="D26" s="54"/>
      <c r="E26" s="54"/>
      <c r="F26" s="54"/>
      <c r="G26" s="54"/>
      <c r="H26" s="54"/>
      <c r="I26" s="54"/>
      <c r="J26" s="50"/>
      <c r="K26" s="80"/>
    </row>
    <row r="27" spans="1:13" s="49" customFormat="1" ht="24.95" customHeight="1" x14ac:dyDescent="0.25">
      <c r="A27" s="81">
        <v>5</v>
      </c>
      <c r="B27" s="72" t="s">
        <v>146</v>
      </c>
      <c r="C27" s="65"/>
      <c r="D27" s="62"/>
      <c r="E27" s="62"/>
      <c r="F27" s="62"/>
      <c r="G27" s="62"/>
      <c r="H27" s="63">
        <f>SUM(H6,H14,H19,H24)</f>
        <v>72696</v>
      </c>
      <c r="I27" s="63">
        <f>SUM(I6,I14,I19,I24)</f>
        <v>62155.079999999994</v>
      </c>
      <c r="J27" s="64"/>
      <c r="K27" s="82"/>
    </row>
    <row r="28" spans="1:13" s="49" customFormat="1" ht="24.95" customHeight="1" x14ac:dyDescent="0.25">
      <c r="A28" s="81">
        <v>6</v>
      </c>
      <c r="B28" s="101" t="s">
        <v>151</v>
      </c>
      <c r="C28" s="98"/>
      <c r="D28" s="62"/>
      <c r="E28" s="62"/>
      <c r="F28" s="62"/>
      <c r="G28" s="62"/>
      <c r="H28" s="63">
        <v>186744</v>
      </c>
      <c r="I28" s="63">
        <f>H28</f>
        <v>186744</v>
      </c>
      <c r="J28" s="64"/>
      <c r="K28" s="82"/>
    </row>
    <row r="29" spans="1:13" s="49" customFormat="1" ht="27.75" customHeight="1" x14ac:dyDescent="0.25">
      <c r="A29" s="81">
        <v>7</v>
      </c>
      <c r="B29" s="111" t="s">
        <v>153</v>
      </c>
      <c r="C29" s="105"/>
      <c r="D29" s="62"/>
      <c r="E29" s="62"/>
      <c r="F29" s="62"/>
      <c r="G29" s="62"/>
      <c r="H29" s="99">
        <f>H28</f>
        <v>186744</v>
      </c>
      <c r="I29" s="63">
        <f>H29-(H2-I27)</f>
        <v>176203.08</v>
      </c>
      <c r="J29" s="64"/>
      <c r="K29" s="82"/>
    </row>
    <row r="30" spans="1:13" s="49" customFormat="1" ht="93" customHeight="1" x14ac:dyDescent="0.25">
      <c r="A30" s="81">
        <v>8</v>
      </c>
      <c r="B30" s="104" t="s">
        <v>155</v>
      </c>
      <c r="C30" s="105"/>
      <c r="D30" s="62"/>
      <c r="E30" s="62"/>
      <c r="F30" s="62"/>
      <c r="G30" s="62"/>
      <c r="H30" s="100">
        <f>18.37*150</f>
        <v>2755.5</v>
      </c>
      <c r="I30" s="100">
        <f>18.37*150</f>
        <v>2755.5</v>
      </c>
      <c r="J30" s="64"/>
      <c r="K30" s="82"/>
    </row>
    <row r="31" spans="1:13" s="49" customFormat="1" ht="35.25" customHeight="1" thickBot="1" x14ac:dyDescent="0.3">
      <c r="A31" s="83">
        <v>9</v>
      </c>
      <c r="B31" s="106" t="s">
        <v>152</v>
      </c>
      <c r="C31" s="107"/>
      <c r="D31" s="84"/>
      <c r="E31" s="84"/>
      <c r="F31" s="84"/>
      <c r="G31" s="84"/>
      <c r="H31" s="85">
        <f>H29+H30</f>
        <v>189499.5</v>
      </c>
      <c r="I31" s="85">
        <f>I29+I30</f>
        <v>178958.58</v>
      </c>
      <c r="J31" s="86"/>
      <c r="K31" s="87"/>
    </row>
    <row r="34" spans="9:9" x14ac:dyDescent="0.25">
      <c r="I34" s="73"/>
    </row>
    <row r="35" spans="9:9" x14ac:dyDescent="0.25">
      <c r="I35" s="73"/>
    </row>
  </sheetData>
  <protectedRanges>
    <protectedRange sqref="K30:K31 J5:K12 G6 B4:D4 K39 D33:D36 C37:J38 A5:B12 K14:K18 F33:G36 D39:D42 K41:K42 A43:K44 I33:J36 H6:I12 A14 B13:F13 F39:J42 A33:B42 H13:J18 K33:K37 A32:I32 G8:G15 G17:G20 A16:A19 G22:G25 A21:A24 H19:K25 E14:F25 B14:B25 D6:F12 A26:J31" name="Range1"/>
  </protectedRanges>
  <mergeCells count="47">
    <mergeCell ref="A1:K1"/>
    <mergeCell ref="A2:E2"/>
    <mergeCell ref="F2:G2"/>
    <mergeCell ref="I2:K2"/>
    <mergeCell ref="A3:A4"/>
    <mergeCell ref="B3:B4"/>
    <mergeCell ref="C3:C4"/>
    <mergeCell ref="B5:K5"/>
    <mergeCell ref="A6:A12"/>
    <mergeCell ref="B6:B12"/>
    <mergeCell ref="E6:E12"/>
    <mergeCell ref="F6:F12"/>
    <mergeCell ref="G6:G12"/>
    <mergeCell ref="H6:H12"/>
    <mergeCell ref="I6:I12"/>
    <mergeCell ref="J6:J12"/>
    <mergeCell ref="K6:K12"/>
    <mergeCell ref="I14:I17"/>
    <mergeCell ref="J14:J17"/>
    <mergeCell ref="K14:K17"/>
    <mergeCell ref="A19:A22"/>
    <mergeCell ref="B19:B22"/>
    <mergeCell ref="E19:E22"/>
    <mergeCell ref="F19:F22"/>
    <mergeCell ref="G19:G22"/>
    <mergeCell ref="H19:H22"/>
    <mergeCell ref="I19:I22"/>
    <mergeCell ref="A14:A17"/>
    <mergeCell ref="B14:B17"/>
    <mergeCell ref="E14:E17"/>
    <mergeCell ref="F14:F17"/>
    <mergeCell ref="G14:G17"/>
    <mergeCell ref="H14:H17"/>
    <mergeCell ref="A24:A25"/>
    <mergeCell ref="B24:B25"/>
    <mergeCell ref="E24:E25"/>
    <mergeCell ref="F24:F25"/>
    <mergeCell ref="G24:G25"/>
    <mergeCell ref="K24:K25"/>
    <mergeCell ref="B30:C30"/>
    <mergeCell ref="B31:C31"/>
    <mergeCell ref="J19:J22"/>
    <mergeCell ref="K19:K22"/>
    <mergeCell ref="H24:H25"/>
    <mergeCell ref="I24:I25"/>
    <mergeCell ref="J24:J25"/>
    <mergeCell ref="B29:C29"/>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&amp;CPage&amp;P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topLeftCell="A4" workbookViewId="0">
      <selection activeCell="G4" sqref="G4"/>
    </sheetView>
  </sheetViews>
  <sheetFormatPr defaultColWidth="8.88671875" defaultRowHeight="13.5" x14ac:dyDescent="0.25"/>
  <cols>
    <col min="1" max="1" width="4.6640625" style="11" bestFit="1" customWidth="1"/>
    <col min="2" max="2" width="43.6640625" style="11" customWidth="1"/>
    <col min="3" max="3" width="9.109375" style="12" bestFit="1" customWidth="1"/>
    <col min="4" max="4" width="9.44140625" style="11" bestFit="1" customWidth="1"/>
    <col min="5" max="5" width="8.88671875" style="11"/>
    <col min="6" max="6" width="10.5546875" style="11" bestFit="1" customWidth="1"/>
    <col min="7" max="16384" width="8.88671875" style="11"/>
  </cols>
  <sheetData>
    <row r="1" spans="1:4" ht="30" customHeight="1" x14ac:dyDescent="0.25">
      <c r="A1" s="133" t="s">
        <v>33</v>
      </c>
      <c r="B1" s="133"/>
      <c r="C1" s="133"/>
      <c r="D1" s="133"/>
    </row>
    <row r="2" spans="1:4" ht="37.5" customHeight="1" x14ac:dyDescent="0.25">
      <c r="A2" s="133" t="s">
        <v>35</v>
      </c>
      <c r="B2" s="133"/>
      <c r="C2" s="133"/>
      <c r="D2" s="133"/>
    </row>
    <row r="3" spans="1:4" s="1" customFormat="1" ht="21" customHeight="1" x14ac:dyDescent="0.25">
      <c r="A3" s="7" t="s">
        <v>7</v>
      </c>
      <c r="C3" s="8"/>
    </row>
    <row r="4" spans="1:4" s="1" customFormat="1" ht="21" customHeight="1" x14ac:dyDescent="0.25">
      <c r="A4" s="7" t="s">
        <v>27</v>
      </c>
      <c r="C4" s="8"/>
    </row>
    <row r="5" spans="1:4" s="1" customFormat="1" ht="21" customHeight="1" x14ac:dyDescent="0.25">
      <c r="A5" s="134" t="s">
        <v>54</v>
      </c>
      <c r="B5" s="134"/>
      <c r="C5" s="134"/>
      <c r="D5" s="134"/>
    </row>
    <row r="6" spans="1:4" s="4" customFormat="1" ht="27" x14ac:dyDescent="0.25">
      <c r="A6" s="2" t="s">
        <v>0</v>
      </c>
      <c r="B6" s="3" t="s">
        <v>1</v>
      </c>
      <c r="C6" s="2" t="s">
        <v>4</v>
      </c>
      <c r="D6" s="2" t="s">
        <v>5</v>
      </c>
    </row>
    <row r="7" spans="1:4" s="4" customFormat="1" x14ac:dyDescent="0.25">
      <c r="A7" s="5">
        <v>1</v>
      </c>
      <c r="B7" s="6" t="s">
        <v>40</v>
      </c>
      <c r="C7" s="5" t="s">
        <v>43</v>
      </c>
      <c r="D7" s="9">
        <v>10000</v>
      </c>
    </row>
    <row r="8" spans="1:4" s="4" customFormat="1" x14ac:dyDescent="0.25">
      <c r="A8" s="5">
        <v>2</v>
      </c>
      <c r="B8" s="6" t="s">
        <v>50</v>
      </c>
      <c r="C8" s="5" t="s">
        <v>12</v>
      </c>
      <c r="D8" s="9">
        <v>10</v>
      </c>
    </row>
    <row r="9" spans="1:4" s="4" customFormat="1" x14ac:dyDescent="0.25">
      <c r="A9" s="5">
        <v>3</v>
      </c>
      <c r="B9" s="6" t="s">
        <v>45</v>
      </c>
      <c r="C9" s="5" t="s">
        <v>41</v>
      </c>
      <c r="D9" s="9">
        <f>+D8*305</f>
        <v>3050</v>
      </c>
    </row>
    <row r="10" spans="1:4" s="4" customFormat="1" ht="27" x14ac:dyDescent="0.25">
      <c r="A10" s="5">
        <v>4</v>
      </c>
      <c r="B10" s="6" t="s">
        <v>38</v>
      </c>
      <c r="C10" s="5" t="s">
        <v>42</v>
      </c>
      <c r="D10" s="9">
        <f>+D7*D8*12</f>
        <v>1200000</v>
      </c>
    </row>
    <row r="11" spans="1:4" s="4" customFormat="1" x14ac:dyDescent="0.25">
      <c r="A11" s="5">
        <v>5</v>
      </c>
      <c r="B11" s="6" t="s">
        <v>39</v>
      </c>
      <c r="C11" s="5" t="s">
        <v>43</v>
      </c>
      <c r="D11" s="9">
        <v>12000</v>
      </c>
    </row>
    <row r="12" spans="1:4" s="4" customFormat="1" x14ac:dyDescent="0.25">
      <c r="A12" s="5">
        <v>6</v>
      </c>
      <c r="B12" s="6" t="s">
        <v>51</v>
      </c>
      <c r="C12" s="5" t="s">
        <v>12</v>
      </c>
      <c r="D12" s="9">
        <v>1</v>
      </c>
    </row>
    <row r="13" spans="1:4" s="4" customFormat="1" x14ac:dyDescent="0.25">
      <c r="A13" s="5">
        <v>7</v>
      </c>
      <c r="B13" s="6" t="s">
        <v>46</v>
      </c>
      <c r="C13" s="5" t="s">
        <v>12</v>
      </c>
      <c r="D13" s="9">
        <f>+D12*365</f>
        <v>365</v>
      </c>
    </row>
    <row r="14" spans="1:4" s="4" customFormat="1" ht="27" x14ac:dyDescent="0.25">
      <c r="A14" s="5">
        <v>8</v>
      </c>
      <c r="B14" s="6" t="s">
        <v>44</v>
      </c>
      <c r="C14" s="5" t="s">
        <v>42</v>
      </c>
      <c r="D14" s="9">
        <f>+D11*D12*12</f>
        <v>144000</v>
      </c>
    </row>
    <row r="15" spans="1:4" s="4" customFormat="1" x14ac:dyDescent="0.25">
      <c r="A15" s="5">
        <v>9</v>
      </c>
      <c r="B15" s="6" t="s">
        <v>48</v>
      </c>
      <c r="C15" s="5" t="s">
        <v>42</v>
      </c>
      <c r="D15" s="9">
        <f>+D14+D10</f>
        <v>1344000</v>
      </c>
    </row>
    <row r="16" spans="1:4" s="4" customFormat="1" x14ac:dyDescent="0.25">
      <c r="A16" s="5">
        <v>10</v>
      </c>
      <c r="B16" s="6" t="s">
        <v>47</v>
      </c>
      <c r="C16" s="5" t="s">
        <v>55</v>
      </c>
      <c r="D16" s="9">
        <f>+D9+D13</f>
        <v>3415</v>
      </c>
    </row>
    <row r="17" spans="1:4" s="4" customFormat="1" ht="27" x14ac:dyDescent="0.25">
      <c r="A17" s="5">
        <v>11</v>
      </c>
      <c r="B17" s="6" t="s">
        <v>13</v>
      </c>
      <c r="C17" s="5" t="s">
        <v>8</v>
      </c>
      <c r="D17" s="10">
        <f>ROUND(D15/D16,0)</f>
        <v>394</v>
      </c>
    </row>
    <row r="18" spans="1:4" ht="21" customHeight="1" x14ac:dyDescent="0.25"/>
    <row r="19" spans="1:4" ht="21" customHeight="1" x14ac:dyDescent="0.25">
      <c r="A19" s="134" t="s">
        <v>36</v>
      </c>
      <c r="B19" s="134"/>
      <c r="C19" s="134"/>
      <c r="D19" s="134"/>
    </row>
    <row r="20" spans="1:4" ht="27" x14ac:dyDescent="0.25">
      <c r="A20" s="2" t="s">
        <v>0</v>
      </c>
      <c r="B20" s="3" t="s">
        <v>1</v>
      </c>
      <c r="C20" s="2" t="s">
        <v>4</v>
      </c>
      <c r="D20" s="2" t="s">
        <v>5</v>
      </c>
    </row>
    <row r="21" spans="1:4" x14ac:dyDescent="0.25">
      <c r="A21" s="5">
        <v>12</v>
      </c>
      <c r="B21" s="6" t="s">
        <v>9</v>
      </c>
      <c r="C21" s="5" t="s">
        <v>11</v>
      </c>
      <c r="D21" s="9">
        <v>26</v>
      </c>
    </row>
    <row r="22" spans="1:4" x14ac:dyDescent="0.25">
      <c r="A22" s="5">
        <v>13</v>
      </c>
      <c r="B22" s="6" t="s">
        <v>14</v>
      </c>
      <c r="C22" s="5" t="s">
        <v>11</v>
      </c>
      <c r="D22" s="9">
        <v>31</v>
      </c>
    </row>
    <row r="23" spans="1:4" ht="27" x14ac:dyDescent="0.25">
      <c r="A23" s="5">
        <v>14</v>
      </c>
      <c r="B23" s="6" t="s">
        <v>49</v>
      </c>
      <c r="C23" s="5" t="s">
        <v>10</v>
      </c>
      <c r="D23" s="9">
        <f>D8*D21+D12*D22</f>
        <v>291</v>
      </c>
    </row>
    <row r="24" spans="1:4" x14ac:dyDescent="0.25">
      <c r="A24" s="5">
        <v>15</v>
      </c>
      <c r="B24" s="6" t="s">
        <v>53</v>
      </c>
      <c r="C24" s="5" t="s">
        <v>10</v>
      </c>
      <c r="D24" s="9">
        <f>ROUND(D23*90%,0)</f>
        <v>262</v>
      </c>
    </row>
    <row r="25" spans="1:4" x14ac:dyDescent="0.25">
      <c r="A25" s="5">
        <v>16</v>
      </c>
      <c r="B25" s="6" t="s">
        <v>52</v>
      </c>
      <c r="C25" s="5" t="s">
        <v>10</v>
      </c>
      <c r="D25" s="9">
        <v>260</v>
      </c>
    </row>
    <row r="26" spans="1:4" ht="27" x14ac:dyDescent="0.25">
      <c r="A26" s="5">
        <v>17</v>
      </c>
      <c r="B26" s="6" t="s">
        <v>37</v>
      </c>
      <c r="C26" s="5" t="s">
        <v>6</v>
      </c>
      <c r="D26" s="9">
        <f>ROUND(IF(D25&lt;D24,(D23-D25)*D17*1.5,(D23-D25)*D17),0)</f>
        <v>18321</v>
      </c>
    </row>
    <row r="28" spans="1:4" ht="21" customHeight="1" x14ac:dyDescent="0.25">
      <c r="A28" s="13"/>
      <c r="B28" s="14" t="s">
        <v>15</v>
      </c>
      <c r="C28" s="15"/>
      <c r="D28" s="13"/>
    </row>
    <row r="29" spans="1:4" ht="27" customHeight="1" x14ac:dyDescent="0.25">
      <c r="A29" s="15">
        <v>1</v>
      </c>
      <c r="B29" s="132" t="s">
        <v>16</v>
      </c>
      <c r="C29" s="132"/>
      <c r="D29" s="132"/>
    </row>
    <row r="30" spans="1:4" ht="27" customHeight="1" x14ac:dyDescent="0.25">
      <c r="A30" s="15">
        <v>2</v>
      </c>
      <c r="B30" s="132" t="s">
        <v>26</v>
      </c>
      <c r="C30" s="132"/>
      <c r="D30" s="132"/>
    </row>
  </sheetData>
  <mergeCells count="6">
    <mergeCell ref="B30:D30"/>
    <mergeCell ref="B29:D29"/>
    <mergeCell ref="A1:D1"/>
    <mergeCell ref="A2:D2"/>
    <mergeCell ref="A19:D19"/>
    <mergeCell ref="A5:D5"/>
  </mergeCells>
  <printOptions horizontalCentered="1"/>
  <pageMargins left="0.9055118110236221" right="0.70866141732283472" top="0.94488188976377963" bottom="0.94488188976377963" header="0.31496062992125984" footer="0.39370078740157483"/>
  <pageSetup paperSize="9" orientation="portrait" r:id="rId1"/>
  <headerFooter>
    <oddFooter xml:space="preserve">&amp;LAdani Ports and SEZ Ltd.
NIT No.: 01 / 2018
&amp;CSchedule-7 (Part-G)
Illustration for Calculation of LD
Against Shortfall in Manpower Deployment&amp;RPage &amp;P of &amp;N
</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7"/>
  <sheetViews>
    <sheetView workbookViewId="0">
      <selection activeCell="E8" sqref="E8"/>
    </sheetView>
  </sheetViews>
  <sheetFormatPr defaultRowHeight="13.5" x14ac:dyDescent="0.25"/>
  <cols>
    <col min="1" max="1" width="4.109375" customWidth="1"/>
    <col min="2" max="2" width="23.6640625" customWidth="1"/>
    <col min="3" max="3" width="6.6640625" bestFit="1" customWidth="1"/>
    <col min="4" max="5" width="9.5546875" bestFit="1" customWidth="1"/>
    <col min="6" max="6" width="9.33203125" bestFit="1" customWidth="1"/>
    <col min="7" max="7" width="19.33203125" bestFit="1" customWidth="1"/>
  </cols>
  <sheetData>
    <row r="1" spans="1:7" ht="30" customHeight="1" x14ac:dyDescent="0.25">
      <c r="A1" s="137" t="s">
        <v>34</v>
      </c>
      <c r="B1" s="137"/>
      <c r="C1" s="137"/>
      <c r="D1" s="137"/>
      <c r="E1" s="137"/>
      <c r="F1" s="137"/>
      <c r="G1" s="137"/>
    </row>
    <row r="2" spans="1:7" ht="35.1" customHeight="1" x14ac:dyDescent="0.25">
      <c r="A2" s="138" t="s">
        <v>30</v>
      </c>
      <c r="B2" s="138"/>
      <c r="C2" s="138"/>
      <c r="D2" s="138"/>
      <c r="E2" s="138"/>
      <c r="F2" s="138"/>
      <c r="G2" s="138"/>
    </row>
    <row r="4" spans="1:7" x14ac:dyDescent="0.25">
      <c r="A4" s="136" t="s">
        <v>63</v>
      </c>
      <c r="B4" s="136"/>
      <c r="C4" s="136"/>
      <c r="D4" s="136"/>
      <c r="E4" s="136"/>
      <c r="F4" s="136"/>
      <c r="G4" s="136"/>
    </row>
    <row r="6" spans="1:7" ht="27" x14ac:dyDescent="0.25">
      <c r="A6" s="16" t="s">
        <v>17</v>
      </c>
      <c r="B6" s="16" t="s">
        <v>3</v>
      </c>
      <c r="C6" s="16" t="s">
        <v>18</v>
      </c>
      <c r="D6" s="27" t="s">
        <v>32</v>
      </c>
      <c r="E6" s="16" t="s">
        <v>19</v>
      </c>
      <c r="F6" s="16" t="s">
        <v>20</v>
      </c>
      <c r="G6" s="16" t="s">
        <v>21</v>
      </c>
    </row>
    <row r="7" spans="1:7" ht="40.5" x14ac:dyDescent="0.25">
      <c r="A7" s="17" t="s">
        <v>28</v>
      </c>
      <c r="B7" s="18" t="s">
        <v>60</v>
      </c>
      <c r="C7" s="19" t="s">
        <v>22</v>
      </c>
      <c r="D7" s="35">
        <v>310</v>
      </c>
      <c r="E7" s="35">
        <v>300</v>
      </c>
      <c r="F7" s="35">
        <v>290</v>
      </c>
      <c r="G7" s="18" t="s">
        <v>31</v>
      </c>
    </row>
    <row r="8" spans="1:7" ht="40.5" x14ac:dyDescent="0.25">
      <c r="A8" s="19" t="s">
        <v>29</v>
      </c>
      <c r="B8" s="18" t="s">
        <v>58</v>
      </c>
      <c r="C8" s="19" t="s">
        <v>22</v>
      </c>
      <c r="D8" s="35">
        <f>D7+8</f>
        <v>318</v>
      </c>
      <c r="E8" s="35">
        <f t="shared" ref="E8:F8" si="0">E7+8</f>
        <v>308</v>
      </c>
      <c r="F8" s="35">
        <f t="shared" si="0"/>
        <v>298</v>
      </c>
      <c r="G8" s="18" t="s">
        <v>57</v>
      </c>
    </row>
    <row r="9" spans="1:7" ht="40.5" x14ac:dyDescent="0.25">
      <c r="A9" s="19" t="s">
        <v>64</v>
      </c>
      <c r="B9" s="18" t="s">
        <v>59</v>
      </c>
      <c r="C9" s="19" t="s">
        <v>22</v>
      </c>
      <c r="D9" s="35">
        <f>D8+7</f>
        <v>325</v>
      </c>
      <c r="E9" s="35">
        <f t="shared" ref="E9:F9" si="1">E8+7</f>
        <v>315</v>
      </c>
      <c r="F9" s="35">
        <f t="shared" si="1"/>
        <v>305</v>
      </c>
      <c r="G9" s="18" t="s">
        <v>62</v>
      </c>
    </row>
    <row r="10" spans="1:7" ht="27" x14ac:dyDescent="0.25">
      <c r="A10" s="30" t="s">
        <v>65</v>
      </c>
      <c r="B10" s="18" t="s">
        <v>82</v>
      </c>
      <c r="C10" s="30" t="s">
        <v>61</v>
      </c>
      <c r="D10" s="35">
        <v>3</v>
      </c>
      <c r="E10" s="35">
        <v>3</v>
      </c>
      <c r="F10" s="35">
        <v>3</v>
      </c>
      <c r="G10" s="18"/>
    </row>
    <row r="11" spans="1:7" ht="27" x14ac:dyDescent="0.25">
      <c r="A11" s="30" t="s">
        <v>66</v>
      </c>
      <c r="B11" s="18" t="s">
        <v>83</v>
      </c>
      <c r="C11" s="30" t="s">
        <v>61</v>
      </c>
      <c r="D11" s="35">
        <v>6</v>
      </c>
      <c r="E11" s="35">
        <v>6</v>
      </c>
      <c r="F11" s="35">
        <v>6</v>
      </c>
      <c r="G11" s="18"/>
    </row>
    <row r="12" spans="1:7" ht="27" x14ac:dyDescent="0.25">
      <c r="A12" s="30" t="s">
        <v>67</v>
      </c>
      <c r="B12" s="18" t="s">
        <v>84</v>
      </c>
      <c r="C12" s="30" t="s">
        <v>61</v>
      </c>
      <c r="D12" s="35">
        <v>3</v>
      </c>
      <c r="E12" s="35">
        <v>3</v>
      </c>
      <c r="F12" s="35">
        <v>3</v>
      </c>
      <c r="G12" s="18"/>
    </row>
    <row r="13" spans="1:7" ht="40.5" x14ac:dyDescent="0.25">
      <c r="A13" s="30" t="s">
        <v>68</v>
      </c>
      <c r="B13" s="20" t="s">
        <v>85</v>
      </c>
      <c r="C13" s="21" t="s">
        <v>22</v>
      </c>
      <c r="D13" s="36">
        <f>SUMPRODUCT(D7:D9,D10:D12)/SUM(D10:D12)</f>
        <v>317.75</v>
      </c>
      <c r="E13" s="36">
        <f t="shared" ref="E13:F13" si="2">SUMPRODUCT(E7:E9,E10:E12)/SUM(E10:E12)</f>
        <v>307.75</v>
      </c>
      <c r="F13" s="36">
        <f t="shared" si="2"/>
        <v>297.75</v>
      </c>
      <c r="G13" s="29"/>
    </row>
    <row r="14" spans="1:7" ht="27" x14ac:dyDescent="0.25">
      <c r="A14" s="30" t="s">
        <v>69</v>
      </c>
      <c r="B14" s="18" t="s">
        <v>86</v>
      </c>
      <c r="C14" s="19" t="s">
        <v>89</v>
      </c>
      <c r="D14" s="22">
        <f>(D13/D7-1)</f>
        <v>2.4999999999999911E-2</v>
      </c>
      <c r="E14" s="22">
        <f t="shared" ref="E14:F14" si="3">(E13/E7-1)</f>
        <v>2.5833333333333375E-2</v>
      </c>
      <c r="F14" s="22">
        <f t="shared" si="3"/>
        <v>2.6724137931034564E-2</v>
      </c>
      <c r="G14" s="18"/>
    </row>
    <row r="15" spans="1:7" ht="27" x14ac:dyDescent="0.25">
      <c r="A15" s="30" t="s">
        <v>70</v>
      </c>
      <c r="B15" s="23" t="s">
        <v>87</v>
      </c>
      <c r="C15" s="17" t="s">
        <v>89</v>
      </c>
      <c r="D15" s="24">
        <v>0.02</v>
      </c>
      <c r="E15" s="24">
        <v>0.02</v>
      </c>
      <c r="F15" s="24">
        <v>0.02</v>
      </c>
      <c r="G15" s="23"/>
    </row>
    <row r="16" spans="1:7" ht="40.5" x14ac:dyDescent="0.25">
      <c r="A16" s="30" t="s">
        <v>71</v>
      </c>
      <c r="B16" s="20" t="s">
        <v>88</v>
      </c>
      <c r="C16" s="16" t="s">
        <v>89</v>
      </c>
      <c r="D16" s="25">
        <f>D14-D15</f>
        <v>4.9999999999999108E-3</v>
      </c>
      <c r="E16" s="25">
        <f t="shared" ref="E16:F16" si="4">E14-E15</f>
        <v>5.8333333333333744E-3</v>
      </c>
      <c r="F16" s="25">
        <f t="shared" si="4"/>
        <v>6.7241379310345635E-3</v>
      </c>
      <c r="G16" s="23"/>
    </row>
    <row r="17" spans="1:7" ht="27" x14ac:dyDescent="0.25">
      <c r="A17" s="30" t="s">
        <v>72</v>
      </c>
      <c r="B17" s="23" t="s">
        <v>90</v>
      </c>
      <c r="C17" s="31" t="s">
        <v>22</v>
      </c>
      <c r="D17" s="37">
        <f>D7*D16</f>
        <v>1.5499999999999723</v>
      </c>
      <c r="E17" s="37">
        <f t="shared" ref="E17:F17" si="5">E7*E16</f>
        <v>1.7500000000000122</v>
      </c>
      <c r="F17" s="37">
        <f t="shared" si="5"/>
        <v>1.9500000000000235</v>
      </c>
      <c r="G17" s="32"/>
    </row>
    <row r="18" spans="1:7" x14ac:dyDescent="0.25">
      <c r="A18" s="30" t="s">
        <v>73</v>
      </c>
      <c r="B18" s="18" t="s">
        <v>23</v>
      </c>
      <c r="C18" s="19" t="s">
        <v>22</v>
      </c>
      <c r="D18" s="38">
        <f>D17*13.16%</f>
        <v>0.20397999999999636</v>
      </c>
      <c r="E18" s="38">
        <f t="shared" ref="E18:F18" si="6">E17*13.16%</f>
        <v>0.23030000000000159</v>
      </c>
      <c r="F18" s="38">
        <f t="shared" si="6"/>
        <v>0.25662000000000307</v>
      </c>
      <c r="G18" s="18" t="s">
        <v>91</v>
      </c>
    </row>
    <row r="19" spans="1:7" ht="27" x14ac:dyDescent="0.25">
      <c r="A19" s="30" t="s">
        <v>74</v>
      </c>
      <c r="B19" s="18" t="s">
        <v>97</v>
      </c>
      <c r="C19" s="19" t="s">
        <v>22</v>
      </c>
      <c r="D19" s="38">
        <f>D17*1%</f>
        <v>1.5499999999999724E-2</v>
      </c>
      <c r="E19" s="38">
        <f t="shared" ref="E19:F19" si="7">E17*1%</f>
        <v>1.7500000000000123E-2</v>
      </c>
      <c r="F19" s="38">
        <f t="shared" si="7"/>
        <v>1.9500000000000236E-2</v>
      </c>
      <c r="G19" s="18" t="s">
        <v>98</v>
      </c>
    </row>
    <row r="20" spans="1:7" x14ac:dyDescent="0.25">
      <c r="A20" s="30" t="s">
        <v>75</v>
      </c>
      <c r="B20" s="18" t="s">
        <v>24</v>
      </c>
      <c r="C20" s="19" t="s">
        <v>22</v>
      </c>
      <c r="D20" s="38">
        <f>D17*8.33%</f>
        <v>0.1291149999999977</v>
      </c>
      <c r="E20" s="38">
        <f t="shared" ref="E20:F20" si="8">E17*8.33%</f>
        <v>0.14577500000000101</v>
      </c>
      <c r="F20" s="38">
        <f t="shared" si="8"/>
        <v>0.16243500000000197</v>
      </c>
      <c r="G20" s="18" t="s">
        <v>95</v>
      </c>
    </row>
    <row r="21" spans="1:7" x14ac:dyDescent="0.25">
      <c r="A21" s="30" t="s">
        <v>76</v>
      </c>
      <c r="B21" s="18" t="s">
        <v>25</v>
      </c>
      <c r="C21" s="19" t="s">
        <v>22</v>
      </c>
      <c r="D21" s="38">
        <f>D17*5%</f>
        <v>7.7499999999998626E-2</v>
      </c>
      <c r="E21" s="38">
        <f t="shared" ref="E21:F21" si="9">E17*5%</f>
        <v>8.7500000000000619E-2</v>
      </c>
      <c r="F21" s="38">
        <f t="shared" si="9"/>
        <v>9.7500000000001183E-2</v>
      </c>
      <c r="G21" s="18" t="s">
        <v>92</v>
      </c>
    </row>
    <row r="22" spans="1:7" x14ac:dyDescent="0.25">
      <c r="A22" s="30" t="s">
        <v>77</v>
      </c>
      <c r="B22" s="26" t="s">
        <v>93</v>
      </c>
      <c r="C22" s="33" t="s">
        <v>22</v>
      </c>
      <c r="D22" s="39">
        <f>SUM(D17:D21)</f>
        <v>1.9760949999999644</v>
      </c>
      <c r="E22" s="39">
        <f>SUM(E17:E21)</f>
        <v>2.2310750000000157</v>
      </c>
      <c r="F22" s="39">
        <f>SUM(F17:F21)</f>
        <v>2.4860550000000301</v>
      </c>
      <c r="G22" s="34"/>
    </row>
    <row r="23" spans="1:7" x14ac:dyDescent="0.25">
      <c r="A23" s="30" t="s">
        <v>78</v>
      </c>
      <c r="B23" s="18" t="s">
        <v>96</v>
      </c>
      <c r="C23" s="19" t="s">
        <v>22</v>
      </c>
      <c r="D23" s="38">
        <f>D22/6</f>
        <v>0.32934916666666075</v>
      </c>
      <c r="E23" s="38">
        <f>E22/6</f>
        <v>0.37184583333333593</v>
      </c>
      <c r="F23" s="38">
        <f>F22/6</f>
        <v>0.414342500000005</v>
      </c>
      <c r="G23" s="40" t="s">
        <v>94</v>
      </c>
    </row>
    <row r="24" spans="1:7" ht="27" x14ac:dyDescent="0.25">
      <c r="A24" s="30" t="s">
        <v>79</v>
      </c>
      <c r="B24" s="26" t="s">
        <v>99</v>
      </c>
      <c r="C24" s="33" t="s">
        <v>22</v>
      </c>
      <c r="D24" s="39">
        <f>ROUND(D22+D23,2)</f>
        <v>2.31</v>
      </c>
      <c r="E24" s="39">
        <f t="shared" ref="E24:F24" si="10">ROUND(E22+E23,2)</f>
        <v>2.6</v>
      </c>
      <c r="F24" s="39">
        <f t="shared" si="10"/>
        <v>2.9</v>
      </c>
      <c r="G24" s="34"/>
    </row>
    <row r="25" spans="1:7" ht="40.5" x14ac:dyDescent="0.25">
      <c r="A25" s="30" t="s">
        <v>80</v>
      </c>
      <c r="B25" s="23" t="s">
        <v>105</v>
      </c>
      <c r="C25" s="17" t="s">
        <v>55</v>
      </c>
      <c r="D25" s="41">
        <f>25*305</f>
        <v>7625</v>
      </c>
      <c r="E25" s="41">
        <f>25*365</f>
        <v>9125</v>
      </c>
      <c r="F25" s="41">
        <f>40*365</f>
        <v>14600</v>
      </c>
      <c r="G25" s="32" t="s">
        <v>106</v>
      </c>
    </row>
    <row r="26" spans="1:7" ht="54" x14ac:dyDescent="0.25">
      <c r="A26" s="30" t="s">
        <v>81</v>
      </c>
      <c r="B26" s="26" t="s">
        <v>100</v>
      </c>
      <c r="C26" s="16" t="s">
        <v>6</v>
      </c>
      <c r="D26" s="42">
        <f>ROUND(D24*D25,0)</f>
        <v>17614</v>
      </c>
      <c r="E26" s="42">
        <f t="shared" ref="E26:F26" si="11">ROUND(E24*E25,0)</f>
        <v>23725</v>
      </c>
      <c r="F26" s="42">
        <f t="shared" si="11"/>
        <v>42340</v>
      </c>
      <c r="G26" s="26"/>
    </row>
    <row r="28" spans="1:7" x14ac:dyDescent="0.25">
      <c r="A28" s="43"/>
      <c r="B28" s="44" t="s">
        <v>56</v>
      </c>
      <c r="C28" s="43"/>
      <c r="D28" s="43"/>
      <c r="E28" s="43"/>
      <c r="F28" s="43"/>
      <c r="G28" s="43"/>
    </row>
    <row r="29" spans="1:7" ht="27" customHeight="1" x14ac:dyDescent="0.25">
      <c r="A29" s="45">
        <v>1</v>
      </c>
      <c r="B29" s="135" t="s">
        <v>104</v>
      </c>
      <c r="C29" s="135"/>
      <c r="D29" s="135"/>
      <c r="E29" s="135"/>
      <c r="F29" s="135"/>
      <c r="G29" s="135"/>
    </row>
    <row r="30" spans="1:7" x14ac:dyDescent="0.25">
      <c r="A30" s="45">
        <v>2</v>
      </c>
      <c r="B30" s="43" t="s">
        <v>101</v>
      </c>
      <c r="C30" s="43"/>
      <c r="D30" s="43"/>
      <c r="E30" s="43"/>
      <c r="F30" s="43"/>
      <c r="G30" s="43"/>
    </row>
    <row r="31" spans="1:7" ht="27" customHeight="1" x14ac:dyDescent="0.25">
      <c r="A31" s="45">
        <v>3</v>
      </c>
      <c r="B31" s="135" t="s">
        <v>103</v>
      </c>
      <c r="C31" s="135"/>
      <c r="D31" s="135"/>
      <c r="E31" s="135"/>
      <c r="F31" s="135"/>
      <c r="G31" s="135"/>
    </row>
    <row r="32" spans="1:7" ht="27" customHeight="1" x14ac:dyDescent="0.25">
      <c r="A32" s="45">
        <v>4</v>
      </c>
      <c r="B32" s="135" t="s">
        <v>102</v>
      </c>
      <c r="C32" s="135"/>
      <c r="D32" s="135"/>
      <c r="E32" s="135"/>
      <c r="F32" s="135"/>
      <c r="G32" s="135"/>
    </row>
    <row r="33" spans="1:7" ht="27" customHeight="1" x14ac:dyDescent="0.25">
      <c r="A33" s="45">
        <v>5</v>
      </c>
      <c r="B33" s="135" t="s">
        <v>107</v>
      </c>
      <c r="C33" s="135"/>
      <c r="D33" s="135"/>
      <c r="E33" s="135"/>
      <c r="F33" s="135"/>
      <c r="G33" s="135"/>
    </row>
    <row r="34" spans="1:7" x14ac:dyDescent="0.25">
      <c r="A34" s="43"/>
      <c r="B34" s="43"/>
      <c r="C34" s="43"/>
      <c r="D34" s="43"/>
      <c r="E34" s="43"/>
      <c r="F34" s="43"/>
      <c r="G34" s="43"/>
    </row>
    <row r="35" spans="1:7" x14ac:dyDescent="0.25">
      <c r="A35" s="43"/>
      <c r="B35" s="43"/>
      <c r="C35" s="43"/>
      <c r="D35" s="43"/>
      <c r="E35" s="43"/>
      <c r="F35" s="43"/>
      <c r="G35" s="43"/>
    </row>
    <row r="36" spans="1:7" x14ac:dyDescent="0.25">
      <c r="A36" s="43"/>
      <c r="B36" s="43"/>
      <c r="C36" s="43"/>
      <c r="D36" s="43"/>
      <c r="E36" s="43"/>
      <c r="F36" s="43"/>
      <c r="G36" s="43"/>
    </row>
    <row r="37" spans="1:7" x14ac:dyDescent="0.25">
      <c r="A37" s="43"/>
      <c r="B37" s="43"/>
      <c r="C37" s="43"/>
      <c r="D37" s="43"/>
      <c r="E37" s="43"/>
      <c r="F37" s="43"/>
      <c r="G37" s="43"/>
    </row>
  </sheetData>
  <mergeCells count="7">
    <mergeCell ref="B31:G31"/>
    <mergeCell ref="B32:G32"/>
    <mergeCell ref="B33:G33"/>
    <mergeCell ref="A4:G4"/>
    <mergeCell ref="A1:G1"/>
    <mergeCell ref="A2:G2"/>
    <mergeCell ref="B29:G29"/>
  </mergeCells>
  <printOptions horizontalCentered="1"/>
  <pageMargins left="0.9055118110236221" right="0.70866141732283472" top="0.74803149606299213" bottom="0.74803149606299213" header="0.31496062992125984" footer="0.31496062992125984"/>
  <pageSetup paperSize="9" scale="83" orientation="portrait" r:id="rId1"/>
  <headerFooter>
    <oddFooter xml:space="preserve">&amp;LAdani Ports and SEZ Ltd.
NIT No.: 01 / 2018
&amp;CSchedule-7 (Part-H)
Illustration for Change in Man-day Rates
w.r.t. Change in Minimum Wages&amp;RPage &amp;P of &amp;N
</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Final SLA</vt:lpstr>
      <vt:lpstr>MP LD Illu.</vt:lpstr>
      <vt:lpstr>Min. Wage Illu. </vt:lpstr>
      <vt:lpstr>'Final SLA'!Print_Area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Priyank Patel</dc:creator>
  <cp:lastModifiedBy>Harekrishna Singh</cp:lastModifiedBy>
  <cp:lastPrinted>2021-04-01T11:23:09Z</cp:lastPrinted>
  <dcterms:created xsi:type="dcterms:W3CDTF">2018-02-03T05:30:47Z</dcterms:created>
  <dcterms:modified xsi:type="dcterms:W3CDTF">2023-01-13T11:11:20Z</dcterms:modified>
</cp:coreProperties>
</file>